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 defaultThemeVersion="124226"/>
  <bookViews>
    <workbookView xWindow="0" yWindow="0" windowWidth="28800" windowHeight="12135" firstSheet="6" activeTab="8"/>
  </bookViews>
  <sheets>
    <sheet name=" Фінплан освоєння " sheetId="3" state="hidden" r:id="rId1"/>
    <sheet name=" розрах Аморт ОЗ перед10 " sheetId="2" state="hidden" r:id="rId2"/>
    <sheet name=" розрах Аморт ОЗ  перед15" sheetId="10" state="hidden" r:id="rId3"/>
    <sheet name=" розрах Аморт ОЗ створ10" sheetId="9" state="hidden" r:id="rId4"/>
    <sheet name=" розрах Аморт ОЗ створ15" sheetId="11" state="hidden" r:id="rId5"/>
    <sheet name=" розрах джерел ІП " sheetId="1" state="hidden" r:id="rId6"/>
    <sheet name="Додаток 1" sheetId="4" r:id="rId7"/>
    <sheet name="Додаток 2" sheetId="5" r:id="rId8"/>
    <sheet name="Додаток 3" sheetId="6" r:id="rId9"/>
    <sheet name="Дод 6.1. " sheetId="7" state="hidden" r:id="rId10"/>
    <sheet name="Дод 6.1.1" sheetId="12" state="hidden" r:id="rId11"/>
    <sheet name="графік" sheetId="13" state="hidden" r:id="rId12"/>
  </sheets>
  <definedNames>
    <definedName name="_xlnm._FilterDatabase" localSheetId="2" hidden="1">' розрах Аморт ОЗ  перед15'!$A$2:$Q$72</definedName>
    <definedName name="_xlnm._FilterDatabase" localSheetId="1" hidden="1">' розрах Аморт ОЗ перед10 '!$A$2:$Q$72</definedName>
    <definedName name="_xlnm.Print_Area" localSheetId="0">' Фінплан освоєння '!$A$1:$T$45</definedName>
    <definedName name="_xlnm.Print_Area" localSheetId="7">'Додаток 2'!$A$3:$Y$141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59" i="5" l="1"/>
  <c r="U60" i="5" l="1"/>
  <c r="Y60" i="5"/>
  <c r="Y59" i="5"/>
  <c r="U59" i="5" s="1"/>
  <c r="AB58" i="5" s="1"/>
  <c r="Z66" i="4"/>
  <c r="V66" i="4" s="1"/>
  <c r="Z65" i="4"/>
  <c r="Z64" i="4"/>
  <c r="V64" i="4" s="1"/>
  <c r="Z62" i="4"/>
  <c r="V62" i="4"/>
  <c r="V65" i="4"/>
  <c r="Z61" i="4"/>
  <c r="V61" i="4" s="1"/>
  <c r="T70" i="5" l="1"/>
  <c r="S70" i="5"/>
  <c r="T67" i="5"/>
  <c r="S67" i="5"/>
  <c r="T66" i="5"/>
  <c r="S66" i="5"/>
  <c r="S64" i="5"/>
  <c r="T64" i="5"/>
  <c r="R64" i="5"/>
  <c r="S62" i="5"/>
  <c r="T61" i="5"/>
  <c r="S61" i="5"/>
  <c r="R61" i="5"/>
  <c r="T60" i="5"/>
  <c r="S60" i="5"/>
  <c r="R60" i="5"/>
  <c r="T59" i="5"/>
  <c r="S59" i="5"/>
  <c r="R59" i="5"/>
  <c r="P70" i="5"/>
  <c r="P67" i="5"/>
  <c r="P66" i="5"/>
  <c r="P64" i="5"/>
  <c r="P61" i="5"/>
  <c r="P62" i="5"/>
  <c r="P60" i="5"/>
  <c r="P59" i="5"/>
  <c r="G47" i="13" l="1"/>
  <c r="G49" i="13" s="1"/>
  <c r="G50" i="13" s="1"/>
  <c r="F49" i="13"/>
  <c r="F50" i="13" s="1"/>
  <c r="H47" i="13" l="1"/>
  <c r="X9" i="13"/>
  <c r="S9" i="13" s="1"/>
  <c r="X7" i="13"/>
  <c r="S8" i="13" s="1"/>
  <c r="Y6" i="13" l="1"/>
  <c r="H49" i="13"/>
  <c r="H50" i="13" s="1"/>
  <c r="I47" i="13"/>
  <c r="X10" i="13"/>
  <c r="S10" i="13" s="1"/>
  <c r="Z6" i="13" s="1"/>
  <c r="F67" i="5"/>
  <c r="F66" i="5"/>
  <c r="E67" i="5"/>
  <c r="E66" i="5"/>
  <c r="X101" i="12"/>
  <c r="X100" i="12"/>
  <c r="X99" i="12"/>
  <c r="T101" i="12"/>
  <c r="T100" i="12"/>
  <c r="T99" i="12"/>
  <c r="P101" i="12"/>
  <c r="P100" i="12"/>
  <c r="P99" i="12"/>
  <c r="L101" i="12"/>
  <c r="L100" i="12"/>
  <c r="L99" i="12"/>
  <c r="H101" i="12"/>
  <c r="H100" i="12"/>
  <c r="H99" i="12"/>
  <c r="I49" i="13" l="1"/>
  <c r="I50" i="13" s="1"/>
  <c r="J47" i="13"/>
  <c r="H30" i="12"/>
  <c r="F30" i="12"/>
  <c r="F29" i="12"/>
  <c r="H28" i="12"/>
  <c r="G28" i="12"/>
  <c r="F28" i="12"/>
  <c r="F26" i="12"/>
  <c r="H24" i="12"/>
  <c r="G24" i="12"/>
  <c r="F24" i="12"/>
  <c r="H23" i="12"/>
  <c r="G32" i="6" s="1"/>
  <c r="G23" i="12"/>
  <c r="F32" i="6" s="1"/>
  <c r="H22" i="12"/>
  <c r="G22" i="12"/>
  <c r="H21" i="12"/>
  <c r="G21" i="12"/>
  <c r="H20" i="12"/>
  <c r="G20" i="12"/>
  <c r="F20" i="12"/>
  <c r="F18" i="12"/>
  <c r="F17" i="12"/>
  <c r="F16" i="12"/>
  <c r="F15" i="12"/>
  <c r="F14" i="12"/>
  <c r="F13" i="12"/>
  <c r="AS30" i="12"/>
  <c r="AQ30" i="12"/>
  <c r="AP30" i="12"/>
  <c r="AN30" i="12"/>
  <c r="AM30" i="12"/>
  <c r="AK30" i="12"/>
  <c r="AJ30" i="12"/>
  <c r="AH30" i="12"/>
  <c r="AG30" i="12"/>
  <c r="AF30" i="12"/>
  <c r="AD30" i="12"/>
  <c r="AC30" i="12"/>
  <c r="AB30" i="12"/>
  <c r="Z30" i="12"/>
  <c r="Y30" i="12"/>
  <c r="X30" i="12"/>
  <c r="V30" i="12"/>
  <c r="U30" i="12"/>
  <c r="T30" i="12"/>
  <c r="R30" i="12"/>
  <c r="Q30" i="12"/>
  <c r="P30" i="12"/>
  <c r="N30" i="12"/>
  <c r="M30" i="12"/>
  <c r="L30" i="12"/>
  <c r="J30" i="12"/>
  <c r="AQ29" i="12"/>
  <c r="AN29" i="12"/>
  <c r="AK29" i="12"/>
  <c r="AH29" i="12"/>
  <c r="AG29" i="12"/>
  <c r="AD29" i="12"/>
  <c r="AC29" i="12"/>
  <c r="Z29" i="12"/>
  <c r="Y29" i="12"/>
  <c r="V29" i="12"/>
  <c r="U29" i="12"/>
  <c r="R29" i="12"/>
  <c r="Q29" i="12"/>
  <c r="N29" i="12"/>
  <c r="M29" i="12"/>
  <c r="J29" i="12"/>
  <c r="AS28" i="12"/>
  <c r="AR28" i="12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AS24" i="12"/>
  <c r="AR24" i="12"/>
  <c r="AQ24" i="12"/>
  <c r="AP24" i="12"/>
  <c r="AO24" i="12"/>
  <c r="AN24" i="12"/>
  <c r="AM24" i="12"/>
  <c r="AL24" i="12"/>
  <c r="AK24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AS23" i="12"/>
  <c r="AR23" i="12"/>
  <c r="AQ23" i="12"/>
  <c r="AP23" i="12"/>
  <c r="AO23" i="12"/>
  <c r="AN23" i="12"/>
  <c r="AM23" i="12"/>
  <c r="AL23" i="12"/>
  <c r="AK23" i="12"/>
  <c r="AJ23" i="12"/>
  <c r="AI23" i="12"/>
  <c r="AH23" i="12"/>
  <c r="AC23" i="12"/>
  <c r="AB23" i="12"/>
  <c r="Z23" i="12"/>
  <c r="Y23" i="12"/>
  <c r="X23" i="12"/>
  <c r="V23" i="12"/>
  <c r="U23" i="12"/>
  <c r="T23" i="12"/>
  <c r="R23" i="12"/>
  <c r="Q23" i="12"/>
  <c r="P23" i="12"/>
  <c r="N23" i="12"/>
  <c r="M23" i="12"/>
  <c r="L23" i="12"/>
  <c r="J23" i="12"/>
  <c r="AS22" i="12"/>
  <c r="AR22" i="12"/>
  <c r="AQ22" i="12"/>
  <c r="AP22" i="12"/>
  <c r="AO22" i="12"/>
  <c r="AN22" i="12"/>
  <c r="AM22" i="12"/>
  <c r="AL22" i="12"/>
  <c r="AK22" i="12"/>
  <c r="AJ22" i="12"/>
  <c r="AI22" i="12"/>
  <c r="AH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AS21" i="12"/>
  <c r="AR21" i="12"/>
  <c r="AQ21" i="12"/>
  <c r="AP21" i="12"/>
  <c r="AO21" i="12"/>
  <c r="AN21" i="12"/>
  <c r="AM21" i="12"/>
  <c r="AL21" i="12"/>
  <c r="AK21" i="12"/>
  <c r="AJ21" i="12"/>
  <c r="AI21" i="12"/>
  <c r="AH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AS20" i="12"/>
  <c r="AR20" i="12"/>
  <c r="AQ20" i="12"/>
  <c r="AP20" i="12"/>
  <c r="AO20" i="12"/>
  <c r="AN20" i="12"/>
  <c r="AM20" i="12"/>
  <c r="AL20" i="12"/>
  <c r="AK20" i="12"/>
  <c r="AJ20" i="12"/>
  <c r="AI20" i="12"/>
  <c r="AH20" i="12"/>
  <c r="AG20" i="12"/>
  <c r="AF20" i="12"/>
  <c r="AE20" i="12"/>
  <c r="BE20" i="12" s="1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E30" i="12"/>
  <c r="C30" i="12"/>
  <c r="C29" i="12"/>
  <c r="E28" i="12"/>
  <c r="D28" i="12"/>
  <c r="C28" i="12"/>
  <c r="C25" i="12"/>
  <c r="E24" i="12"/>
  <c r="D24" i="12"/>
  <c r="C24" i="12"/>
  <c r="C23" i="12"/>
  <c r="C22" i="12"/>
  <c r="C21" i="12"/>
  <c r="E20" i="12"/>
  <c r="D20" i="12"/>
  <c r="C20" i="12"/>
  <c r="C18" i="12"/>
  <c r="C17" i="12"/>
  <c r="C16" i="12"/>
  <c r="C15" i="12"/>
  <c r="C14" i="12"/>
  <c r="C13" i="12"/>
  <c r="C12" i="12"/>
  <c r="E99" i="12"/>
  <c r="AG101" i="12"/>
  <c r="AG23" i="12" s="1"/>
  <c r="AF101" i="12"/>
  <c r="E101" i="12" s="1"/>
  <c r="E23" i="12" s="1"/>
  <c r="AG100" i="12"/>
  <c r="AG22" i="12" s="1"/>
  <c r="AF100" i="12"/>
  <c r="AF22" i="12" s="1"/>
  <c r="AG99" i="12"/>
  <c r="AG21" i="12" s="1"/>
  <c r="AF99" i="12"/>
  <c r="AF21" i="12" s="1"/>
  <c r="AA101" i="12"/>
  <c r="AA23" i="12" s="1"/>
  <c r="W23" i="12"/>
  <c r="S23" i="12"/>
  <c r="O23" i="12"/>
  <c r="F100" i="12"/>
  <c r="F22" i="12" s="1"/>
  <c r="F99" i="12"/>
  <c r="F21" i="12" s="1"/>
  <c r="AQ105" i="12"/>
  <c r="AN105" i="12"/>
  <c r="AK105" i="12"/>
  <c r="AH105" i="12"/>
  <c r="Z105" i="12"/>
  <c r="V105" i="12"/>
  <c r="R105" i="12"/>
  <c r="N105" i="12"/>
  <c r="J105" i="12"/>
  <c r="BE102" i="12"/>
  <c r="BE98" i="12"/>
  <c r="AS105" i="12"/>
  <c r="AS107" i="12" s="1"/>
  <c r="O105" i="12"/>
  <c r="O107" i="12" s="1"/>
  <c r="AR105" i="12"/>
  <c r="AR107" i="12" s="1"/>
  <c r="AP105" i="12"/>
  <c r="AP107" i="12" s="1"/>
  <c r="AO105" i="12"/>
  <c r="AO107" i="12" s="1"/>
  <c r="AO108" i="12" s="1"/>
  <c r="AL105" i="12"/>
  <c r="AL107" i="12" s="1"/>
  <c r="AJ105" i="12"/>
  <c r="AJ107" i="12" s="1"/>
  <c r="AL58" i="12"/>
  <c r="E21" i="12" l="1"/>
  <c r="G70" i="4"/>
  <c r="AD99" i="12"/>
  <c r="AD21" i="12" s="1"/>
  <c r="AR108" i="12"/>
  <c r="K47" i="13"/>
  <c r="J49" i="13"/>
  <c r="J50" i="13" s="1"/>
  <c r="AF23" i="12"/>
  <c r="AL108" i="12"/>
  <c r="AL30" i="12" s="1"/>
  <c r="K23" i="12"/>
  <c r="AE101" i="12"/>
  <c r="D101" i="12" s="1"/>
  <c r="D23" i="12" s="1"/>
  <c r="AD100" i="12"/>
  <c r="AD22" i="12" s="1"/>
  <c r="BE24" i="12"/>
  <c r="E100" i="12"/>
  <c r="AE23" i="12"/>
  <c r="BE23" i="12" s="1"/>
  <c r="F101" i="12"/>
  <c r="F23" i="12" s="1"/>
  <c r="AI105" i="12"/>
  <c r="AI107" i="12" s="1"/>
  <c r="AI108" i="12" s="1"/>
  <c r="AM105" i="12"/>
  <c r="AM107" i="12" s="1"/>
  <c r="L105" i="12"/>
  <c r="L107" i="12" s="1"/>
  <c r="N6" i="13" s="1"/>
  <c r="T105" i="12"/>
  <c r="T107" i="12" s="1"/>
  <c r="N8" i="13" s="1"/>
  <c r="AB105" i="12"/>
  <c r="AB107" i="12" s="1"/>
  <c r="N10" i="13" s="1"/>
  <c r="BE90" i="12"/>
  <c r="BE92" i="12"/>
  <c r="BE94" i="12"/>
  <c r="AA105" i="12"/>
  <c r="BE96" i="12"/>
  <c r="X105" i="12"/>
  <c r="X107" i="12" s="1"/>
  <c r="N9" i="13" s="1"/>
  <c r="K105" i="12"/>
  <c r="S105" i="12"/>
  <c r="P105" i="12"/>
  <c r="AI58" i="12"/>
  <c r="G68" i="12"/>
  <c r="G78" i="12"/>
  <c r="AA58" i="12"/>
  <c r="W58" i="12"/>
  <c r="S58" i="12"/>
  <c r="O58" i="12"/>
  <c r="K58" i="12"/>
  <c r="G58" i="12"/>
  <c r="C54" i="12"/>
  <c r="C26" i="12" s="1"/>
  <c r="C47" i="12"/>
  <c r="C19" i="12" s="1"/>
  <c r="G74" i="12"/>
  <c r="G69" i="12"/>
  <c r="AQ55" i="12"/>
  <c r="AQ27" i="12" s="1"/>
  <c r="AN55" i="12"/>
  <c r="AN27" i="12" s="1"/>
  <c r="AK55" i="12"/>
  <c r="AK27" i="12" s="1"/>
  <c r="AH55" i="12"/>
  <c r="AH27" i="12" s="1"/>
  <c r="AQ54" i="12"/>
  <c r="AQ26" i="12" s="1"/>
  <c r="AN54" i="12"/>
  <c r="AN26" i="12" s="1"/>
  <c r="AK54" i="12"/>
  <c r="AK26" i="12" s="1"/>
  <c r="AH54" i="12"/>
  <c r="AH26" i="12" s="1"/>
  <c r="Z54" i="12"/>
  <c r="Z26" i="12" s="1"/>
  <c r="V54" i="12"/>
  <c r="V26" i="12" s="1"/>
  <c r="R54" i="12"/>
  <c r="R26" i="12" s="1"/>
  <c r="AQ53" i="12"/>
  <c r="AQ25" i="12" s="1"/>
  <c r="AN53" i="12"/>
  <c r="AN25" i="12" s="1"/>
  <c r="AK53" i="12"/>
  <c r="AK25" i="12" s="1"/>
  <c r="AH53" i="12"/>
  <c r="AH25" i="12" s="1"/>
  <c r="Z53" i="12"/>
  <c r="Z25" i="12" s="1"/>
  <c r="V53" i="12"/>
  <c r="V25" i="12" s="1"/>
  <c r="R53" i="12"/>
  <c r="R25" i="12" s="1"/>
  <c r="N53" i="12"/>
  <c r="N25" i="12" s="1"/>
  <c r="J53" i="12"/>
  <c r="J25" i="12" s="1"/>
  <c r="AQ47" i="12"/>
  <c r="AQ19" i="12" s="1"/>
  <c r="AN47" i="12"/>
  <c r="AN19" i="12" s="1"/>
  <c r="AK47" i="12"/>
  <c r="AK19" i="12" s="1"/>
  <c r="AH47" i="12"/>
  <c r="AH19" i="12" s="1"/>
  <c r="AQ46" i="12"/>
  <c r="AQ18" i="12" s="1"/>
  <c r="AN46" i="12"/>
  <c r="AN18" i="12" s="1"/>
  <c r="AK46" i="12"/>
  <c r="AK18" i="12" s="1"/>
  <c r="AH46" i="12"/>
  <c r="AH18" i="12" s="1"/>
  <c r="Z46" i="12"/>
  <c r="Z18" i="12" s="1"/>
  <c r="V46" i="12"/>
  <c r="V18" i="12" s="1"/>
  <c r="R46" i="12"/>
  <c r="R18" i="12" s="1"/>
  <c r="N46" i="12"/>
  <c r="N18" i="12" s="1"/>
  <c r="J46" i="12"/>
  <c r="J18" i="12" s="1"/>
  <c r="AQ45" i="12"/>
  <c r="AQ17" i="12" s="1"/>
  <c r="AN45" i="12"/>
  <c r="AN17" i="12" s="1"/>
  <c r="AK45" i="12"/>
  <c r="AK17" i="12" s="1"/>
  <c r="AH45" i="12"/>
  <c r="AH17" i="12" s="1"/>
  <c r="Z45" i="12"/>
  <c r="Z17" i="12" s="1"/>
  <c r="V45" i="12"/>
  <c r="V17" i="12" s="1"/>
  <c r="R45" i="12"/>
  <c r="R17" i="12" s="1"/>
  <c r="N45" i="12"/>
  <c r="N17" i="12" s="1"/>
  <c r="J45" i="12"/>
  <c r="J17" i="12" s="1"/>
  <c r="AQ44" i="12"/>
  <c r="AQ16" i="12" s="1"/>
  <c r="AN44" i="12"/>
  <c r="AN16" i="12" s="1"/>
  <c r="AK44" i="12"/>
  <c r="AK16" i="12" s="1"/>
  <c r="AH44" i="12"/>
  <c r="AH16" i="12" s="1"/>
  <c r="Z44" i="12"/>
  <c r="Z16" i="12" s="1"/>
  <c r="V44" i="12"/>
  <c r="V16" i="12" s="1"/>
  <c r="R44" i="12"/>
  <c r="R16" i="12" s="1"/>
  <c r="N44" i="12"/>
  <c r="N16" i="12" s="1"/>
  <c r="J44" i="12"/>
  <c r="J16" i="12" s="1"/>
  <c r="AQ43" i="12"/>
  <c r="AQ15" i="12" s="1"/>
  <c r="AN43" i="12"/>
  <c r="AN15" i="12" s="1"/>
  <c r="AK43" i="12"/>
  <c r="AK15" i="12" s="1"/>
  <c r="AH43" i="12"/>
  <c r="AH15" i="12" s="1"/>
  <c r="Z43" i="12"/>
  <c r="Z15" i="12" s="1"/>
  <c r="V43" i="12"/>
  <c r="V15" i="12" s="1"/>
  <c r="R43" i="12"/>
  <c r="R15" i="12" s="1"/>
  <c r="N43" i="12"/>
  <c r="N15" i="12" s="1"/>
  <c r="J43" i="12"/>
  <c r="J15" i="12" s="1"/>
  <c r="AQ42" i="12"/>
  <c r="AQ14" i="12" s="1"/>
  <c r="AN42" i="12"/>
  <c r="AN14" i="12" s="1"/>
  <c r="AK42" i="12"/>
  <c r="AK14" i="12" s="1"/>
  <c r="AH42" i="12"/>
  <c r="AH14" i="12" s="1"/>
  <c r="Z42" i="12"/>
  <c r="Z14" i="12" s="1"/>
  <c r="V42" i="12"/>
  <c r="V14" i="12" s="1"/>
  <c r="R42" i="12"/>
  <c r="R14" i="12" s="1"/>
  <c r="N42" i="12"/>
  <c r="N14" i="12" s="1"/>
  <c r="J42" i="12"/>
  <c r="J14" i="12" s="1"/>
  <c r="AQ41" i="12"/>
  <c r="AQ13" i="12" s="1"/>
  <c r="AN41" i="12"/>
  <c r="AN13" i="12" s="1"/>
  <c r="AK41" i="12"/>
  <c r="AK13" i="12" s="1"/>
  <c r="AH41" i="12"/>
  <c r="AH13" i="12" s="1"/>
  <c r="Z41" i="12"/>
  <c r="Z13" i="12" s="1"/>
  <c r="V41" i="12"/>
  <c r="V13" i="12" s="1"/>
  <c r="R41" i="12"/>
  <c r="R13" i="12" s="1"/>
  <c r="N41" i="12"/>
  <c r="N13" i="12" s="1"/>
  <c r="J41" i="12"/>
  <c r="J13" i="12" s="1"/>
  <c r="AQ40" i="12"/>
  <c r="AQ12" i="12" s="1"/>
  <c r="AN40" i="12"/>
  <c r="AN12" i="12" s="1"/>
  <c r="AK40" i="12"/>
  <c r="AK12" i="12" s="1"/>
  <c r="AH40" i="12"/>
  <c r="AH12" i="12" s="1"/>
  <c r="Z40" i="12"/>
  <c r="Z12" i="12" s="1"/>
  <c r="V40" i="12"/>
  <c r="V12" i="12" s="1"/>
  <c r="R40" i="12"/>
  <c r="R12" i="12" s="1"/>
  <c r="N40" i="12"/>
  <c r="N12" i="12" s="1"/>
  <c r="J40" i="12"/>
  <c r="J12" i="12" s="1"/>
  <c r="F40" i="12"/>
  <c r="E22" i="12" l="1"/>
  <c r="G71" i="4"/>
  <c r="L47" i="13"/>
  <c r="K49" i="13"/>
  <c r="K50" i="13" s="1"/>
  <c r="AI30" i="12"/>
  <c r="Q105" i="12"/>
  <c r="P107" i="12"/>
  <c r="BE101" i="12"/>
  <c r="F47" i="12"/>
  <c r="F19" i="12" s="1"/>
  <c r="F12" i="12"/>
  <c r="U105" i="12"/>
  <c r="S107" i="12"/>
  <c r="S108" i="12" s="1"/>
  <c r="S30" i="12" s="1"/>
  <c r="AC105" i="12"/>
  <c r="AA107" i="12"/>
  <c r="AA108" i="12" s="1"/>
  <c r="AA30" i="12" s="1"/>
  <c r="AE100" i="12"/>
  <c r="AE22" i="12" s="1"/>
  <c r="BE22" i="12" s="1"/>
  <c r="M105" i="12"/>
  <c r="K107" i="12"/>
  <c r="K108" i="12" s="1"/>
  <c r="K30" i="12" s="1"/>
  <c r="AD101" i="12"/>
  <c r="AD23" i="12" s="1"/>
  <c r="BE103" i="12"/>
  <c r="BE95" i="12"/>
  <c r="W105" i="12"/>
  <c r="BE91" i="12"/>
  <c r="BE93" i="12"/>
  <c r="H105" i="12"/>
  <c r="F105" i="12"/>
  <c r="C55" i="12"/>
  <c r="AD43" i="12"/>
  <c r="AD15" i="12" s="1"/>
  <c r="AD42" i="12"/>
  <c r="AD14" i="12" s="1"/>
  <c r="G66" i="12"/>
  <c r="G70" i="12"/>
  <c r="G75" i="12"/>
  <c r="G67" i="12"/>
  <c r="G71" i="12"/>
  <c r="G77" i="12"/>
  <c r="AD41" i="12"/>
  <c r="AD13" i="12" s="1"/>
  <c r="G73" i="12"/>
  <c r="AD46" i="12"/>
  <c r="AD18" i="12" s="1"/>
  <c r="AD40" i="12"/>
  <c r="AD12" i="12" s="1"/>
  <c r="AD44" i="12"/>
  <c r="AD16" i="12" s="1"/>
  <c r="AD45" i="12"/>
  <c r="AD17" i="12" s="1"/>
  <c r="AB32" i="7"/>
  <c r="X32" i="7"/>
  <c r="H32" i="7"/>
  <c r="BM32" i="7"/>
  <c r="BM33" i="7"/>
  <c r="E32" i="6"/>
  <c r="AZ32" i="7"/>
  <c r="BE32" i="7" s="1"/>
  <c r="BD33" i="7"/>
  <c r="C9" i="11"/>
  <c r="C15" i="11"/>
  <c r="C19" i="11"/>
  <c r="C25" i="11"/>
  <c r="F60" i="7"/>
  <c r="F46" i="7"/>
  <c r="G46" i="7" s="1"/>
  <c r="F47" i="7"/>
  <c r="F48" i="7"/>
  <c r="F49" i="7"/>
  <c r="G49" i="7" s="1"/>
  <c r="F50" i="7"/>
  <c r="G50" i="7" s="1"/>
  <c r="F51" i="7"/>
  <c r="F52" i="7"/>
  <c r="F53" i="7"/>
  <c r="G53" i="7" s="1"/>
  <c r="F54" i="7"/>
  <c r="G54" i="7" s="1"/>
  <c r="F55" i="7"/>
  <c r="F56" i="7"/>
  <c r="F57" i="7"/>
  <c r="G57" i="7" s="1"/>
  <c r="F58" i="7"/>
  <c r="F59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M31" i="7"/>
  <c r="AJ31" i="7"/>
  <c r="AM30" i="7"/>
  <c r="AJ30" i="7"/>
  <c r="AM29" i="7"/>
  <c r="AJ29" i="7"/>
  <c r="AM28" i="7"/>
  <c r="AJ28" i="7"/>
  <c r="AM27" i="7"/>
  <c r="AJ27" i="7"/>
  <c r="AM26" i="7"/>
  <c r="AJ26" i="7"/>
  <c r="AM25" i="7"/>
  <c r="AJ25" i="7"/>
  <c r="AM24" i="7"/>
  <c r="AJ24" i="7"/>
  <c r="AM23" i="7"/>
  <c r="AJ23" i="7"/>
  <c r="AM22" i="7"/>
  <c r="AJ22" i="7"/>
  <c r="AM21" i="7"/>
  <c r="AJ21" i="7"/>
  <c r="AM20" i="7"/>
  <c r="AJ20" i="7"/>
  <c r="AM19" i="7"/>
  <c r="AJ19" i="7"/>
  <c r="AM18" i="7"/>
  <c r="AJ18" i="7"/>
  <c r="AM17" i="7"/>
  <c r="AJ17" i="7"/>
  <c r="AM16" i="7"/>
  <c r="AJ16" i="7"/>
  <c r="AG31" i="7"/>
  <c r="AG30" i="7"/>
  <c r="AG29" i="7"/>
  <c r="AG28" i="7"/>
  <c r="AG27" i="7"/>
  <c r="AG26" i="7"/>
  <c r="AG25" i="7"/>
  <c r="AG24" i="7"/>
  <c r="AG23" i="7"/>
  <c r="AG22" i="7"/>
  <c r="AG21" i="7"/>
  <c r="AG20" i="7"/>
  <c r="AG19" i="7"/>
  <c r="AG18" i="7"/>
  <c r="AG17" i="7"/>
  <c r="AG16" i="7"/>
  <c r="G33" i="7"/>
  <c r="Y17" i="7"/>
  <c r="Y18" i="7"/>
  <c r="Y19" i="7"/>
  <c r="Y20" i="7"/>
  <c r="Y21" i="7"/>
  <c r="Y22" i="7"/>
  <c r="Y24" i="7"/>
  <c r="Y25" i="7"/>
  <c r="Y26" i="7"/>
  <c r="Y27" i="7"/>
  <c r="Y28" i="7"/>
  <c r="Y29" i="7"/>
  <c r="Y30" i="7"/>
  <c r="Y16" i="7"/>
  <c r="U17" i="7"/>
  <c r="U18" i="7"/>
  <c r="U19" i="7"/>
  <c r="U20" i="7"/>
  <c r="U21" i="7"/>
  <c r="U22" i="7"/>
  <c r="U24" i="7"/>
  <c r="U25" i="7"/>
  <c r="U26" i="7"/>
  <c r="U27" i="7"/>
  <c r="U28" i="7"/>
  <c r="U29" i="7"/>
  <c r="U30" i="7"/>
  <c r="U16" i="7"/>
  <c r="Q17" i="7"/>
  <c r="Q18" i="7"/>
  <c r="Q19" i="7"/>
  <c r="Q20" i="7"/>
  <c r="Q21" i="7"/>
  <c r="Q22" i="7"/>
  <c r="Q24" i="7"/>
  <c r="Q25" i="7"/>
  <c r="Q26" i="7"/>
  <c r="Q27" i="7"/>
  <c r="Q28" i="7"/>
  <c r="Q29" i="7"/>
  <c r="Q30" i="7"/>
  <c r="Q16" i="7"/>
  <c r="M17" i="7"/>
  <c r="M18" i="7"/>
  <c r="M19" i="7"/>
  <c r="M20" i="7"/>
  <c r="M21" i="7"/>
  <c r="M22" i="7"/>
  <c r="M24" i="7"/>
  <c r="M25" i="7"/>
  <c r="M26" i="7"/>
  <c r="M28" i="7"/>
  <c r="M29" i="7"/>
  <c r="N29" i="7" s="1"/>
  <c r="N30" i="7" s="1"/>
  <c r="M32" i="7"/>
  <c r="P32" i="7" s="1"/>
  <c r="M16" i="7"/>
  <c r="I17" i="7"/>
  <c r="I18" i="7"/>
  <c r="I19" i="7"/>
  <c r="I20" i="7"/>
  <c r="I21" i="7"/>
  <c r="I22" i="7"/>
  <c r="I24" i="7"/>
  <c r="I25" i="7"/>
  <c r="I26" i="7"/>
  <c r="I28" i="7"/>
  <c r="I29" i="7"/>
  <c r="I16" i="7"/>
  <c r="O108" i="12" l="1"/>
  <c r="O30" i="12" s="1"/>
  <c r="N7" i="13"/>
  <c r="M47" i="13"/>
  <c r="L49" i="13"/>
  <c r="L50" i="13" s="1"/>
  <c r="C59" i="12"/>
  <c r="AF105" i="12"/>
  <c r="H107" i="12"/>
  <c r="Y105" i="12"/>
  <c r="W107" i="12"/>
  <c r="D100" i="12"/>
  <c r="BE100" i="12"/>
  <c r="AE99" i="12"/>
  <c r="AE21" i="12" s="1"/>
  <c r="BE21" i="12" s="1"/>
  <c r="AD105" i="12"/>
  <c r="C105" i="12" s="1"/>
  <c r="C27" i="12" s="1"/>
  <c r="C31" i="12" s="1"/>
  <c r="G105" i="12"/>
  <c r="BE104" i="12"/>
  <c r="F55" i="12"/>
  <c r="F27" i="12" s="1"/>
  <c r="P29" i="7"/>
  <c r="G55" i="7"/>
  <c r="G51" i="7"/>
  <c r="G47" i="7"/>
  <c r="F70" i="5"/>
  <c r="G48" i="7"/>
  <c r="AC19" i="7"/>
  <c r="G58" i="7"/>
  <c r="AC22" i="7"/>
  <c r="AC18" i="7"/>
  <c r="AC21" i="7"/>
  <c r="AC28" i="7"/>
  <c r="AC24" i="7"/>
  <c r="AC20" i="7"/>
  <c r="AC17" i="7"/>
  <c r="D22" i="12" l="1"/>
  <c r="F71" i="4"/>
  <c r="N5" i="13"/>
  <c r="N47" i="13"/>
  <c r="M49" i="13"/>
  <c r="M50" i="13" s="1"/>
  <c r="W108" i="12"/>
  <c r="W30" i="12" s="1"/>
  <c r="E105" i="12"/>
  <c r="E107" i="12" s="1"/>
  <c r="AF107" i="12"/>
  <c r="D99" i="12"/>
  <c r="BE99" i="12"/>
  <c r="AE105" i="12"/>
  <c r="BE105" i="12" s="1"/>
  <c r="G107" i="12"/>
  <c r="I105" i="12"/>
  <c r="AG105" i="12" s="1"/>
  <c r="BE97" i="12"/>
  <c r="D105" i="12"/>
  <c r="N4" i="13" l="1"/>
  <c r="D21" i="12"/>
  <c r="F70" i="4"/>
  <c r="O47" i="13"/>
  <c r="H54" i="12"/>
  <c r="H26" i="12" s="1"/>
  <c r="D107" i="12"/>
  <c r="G108" i="12"/>
  <c r="G30" i="12" s="1"/>
  <c r="AE107" i="12"/>
  <c r="E26" i="7"/>
  <c r="E25" i="7"/>
  <c r="E16" i="7"/>
  <c r="H98" i="4"/>
  <c r="I98" i="4"/>
  <c r="J98" i="4"/>
  <c r="K98" i="4"/>
  <c r="L98" i="4"/>
  <c r="M98" i="4"/>
  <c r="O98" i="4"/>
  <c r="P98" i="4"/>
  <c r="Q98" i="4"/>
  <c r="C5" i="13" s="1"/>
  <c r="C31" i="13" s="1"/>
  <c r="R98" i="4"/>
  <c r="C6" i="13" s="1"/>
  <c r="C32" i="13" s="1"/>
  <c r="S98" i="4"/>
  <c r="C7" i="13" s="1"/>
  <c r="C33" i="13" s="1"/>
  <c r="T98" i="4"/>
  <c r="C8" i="13" s="1"/>
  <c r="C34" i="13" s="1"/>
  <c r="U98" i="4"/>
  <c r="C9" i="13" s="1"/>
  <c r="C35" i="13" s="1"/>
  <c r="V98" i="4"/>
  <c r="W98" i="4"/>
  <c r="X98" i="4"/>
  <c r="Y98" i="4"/>
  <c r="Z98" i="4"/>
  <c r="E24" i="11"/>
  <c r="L13" i="11"/>
  <c r="M13" i="11"/>
  <c r="N13" i="11"/>
  <c r="O13" i="11"/>
  <c r="P13" i="11"/>
  <c r="D7" i="11"/>
  <c r="D23" i="11"/>
  <c r="E23" i="11"/>
  <c r="E26" i="11" s="1"/>
  <c r="E28" i="11" s="1"/>
  <c r="D14" i="11"/>
  <c r="E14" i="11"/>
  <c r="K76" i="10"/>
  <c r="K13" i="11" s="1"/>
  <c r="D24" i="11" l="1"/>
  <c r="AE108" i="12"/>
  <c r="D108" i="12"/>
  <c r="AC16" i="7"/>
  <c r="AC25" i="7"/>
  <c r="AC26" i="7"/>
  <c r="D8" i="11"/>
  <c r="E23" i="7"/>
  <c r="E27" i="7"/>
  <c r="K20" i="11"/>
  <c r="J20" i="11"/>
  <c r="I20" i="11"/>
  <c r="H20" i="11"/>
  <c r="G20" i="11"/>
  <c r="F20" i="11"/>
  <c r="D20" i="11"/>
  <c r="K16" i="11"/>
  <c r="J16" i="11"/>
  <c r="I16" i="11"/>
  <c r="H16" i="11"/>
  <c r="G16" i="11"/>
  <c r="F16" i="11"/>
  <c r="D16" i="11"/>
  <c r="K10" i="11"/>
  <c r="J10" i="11"/>
  <c r="I10" i="11"/>
  <c r="H10" i="11"/>
  <c r="G10" i="11"/>
  <c r="F10" i="11"/>
  <c r="D10" i="11"/>
  <c r="K4" i="11"/>
  <c r="J4" i="11"/>
  <c r="I4" i="11"/>
  <c r="H4" i="11"/>
  <c r="G4" i="11"/>
  <c r="F4" i="11"/>
  <c r="D4" i="11"/>
  <c r="E77" i="10"/>
  <c r="K71" i="10"/>
  <c r="K72" i="10" s="1"/>
  <c r="J71" i="10"/>
  <c r="J72" i="10" s="1"/>
  <c r="I71" i="10"/>
  <c r="I72" i="10" s="1"/>
  <c r="H71" i="10"/>
  <c r="H72" i="10" s="1"/>
  <c r="G71" i="10"/>
  <c r="G72" i="10" s="1"/>
  <c r="F71" i="10"/>
  <c r="F72" i="10" s="1"/>
  <c r="E71" i="10"/>
  <c r="E72" i="10" s="1"/>
  <c r="D70" i="10"/>
  <c r="D69" i="10"/>
  <c r="D5" i="11" l="1"/>
  <c r="C4" i="11"/>
  <c r="C20" i="11"/>
  <c r="C16" i="11"/>
  <c r="D26" i="11"/>
  <c r="C10" i="11"/>
  <c r="E31" i="6"/>
  <c r="E31" i="7"/>
  <c r="B20" i="11"/>
  <c r="B16" i="11"/>
  <c r="B10" i="11"/>
  <c r="F11" i="11"/>
  <c r="H21" i="11"/>
  <c r="B4" i="11"/>
  <c r="F17" i="11"/>
  <c r="D71" i="10"/>
  <c r="V19" i="9"/>
  <c r="J16" i="9"/>
  <c r="J8" i="9"/>
  <c r="C4" i="9"/>
  <c r="C5" i="9" s="1"/>
  <c r="E16" i="9"/>
  <c r="F16" i="9"/>
  <c r="G16" i="9"/>
  <c r="G17" i="9" s="1"/>
  <c r="G18" i="9" s="1"/>
  <c r="H16" i="9"/>
  <c r="I16" i="9"/>
  <c r="C16" i="9"/>
  <c r="E12" i="9"/>
  <c r="E13" i="9" s="1"/>
  <c r="F12" i="9"/>
  <c r="G12" i="9"/>
  <c r="H12" i="9"/>
  <c r="I12" i="9"/>
  <c r="J12" i="9"/>
  <c r="C12" i="9"/>
  <c r="E8" i="9"/>
  <c r="F8" i="9"/>
  <c r="G8" i="9"/>
  <c r="H8" i="9"/>
  <c r="I8" i="9"/>
  <c r="C8" i="9"/>
  <c r="F4" i="9"/>
  <c r="G4" i="9"/>
  <c r="H4" i="9"/>
  <c r="I4" i="9"/>
  <c r="J4" i="9"/>
  <c r="E4" i="9"/>
  <c r="U75" i="10" l="1"/>
  <c r="F75" i="10"/>
  <c r="F7" i="11" s="1"/>
  <c r="G75" i="10"/>
  <c r="G7" i="11" s="1"/>
  <c r="K75" i="10"/>
  <c r="K7" i="11" s="1"/>
  <c r="K24" i="11" s="1"/>
  <c r="O75" i="10"/>
  <c r="O7" i="11" s="1"/>
  <c r="O24" i="11" s="1"/>
  <c r="S75" i="10"/>
  <c r="J75" i="10"/>
  <c r="J7" i="11" s="1"/>
  <c r="R75" i="10"/>
  <c r="H75" i="10"/>
  <c r="L75" i="10"/>
  <c r="L7" i="11" s="1"/>
  <c r="L24" i="11" s="1"/>
  <c r="P75" i="10"/>
  <c r="T75" i="10"/>
  <c r="I75" i="10"/>
  <c r="I7" i="11" s="1"/>
  <c r="Q75" i="10"/>
  <c r="N75" i="10"/>
  <c r="N7" i="11" s="1"/>
  <c r="N24" i="11" s="1"/>
  <c r="M75" i="10"/>
  <c r="M7" i="11" s="1"/>
  <c r="M24" i="11" s="1"/>
  <c r="G11" i="11"/>
  <c r="G12" i="11" s="1"/>
  <c r="H22" i="11"/>
  <c r="G17" i="11"/>
  <c r="D28" i="11"/>
  <c r="E5" i="11"/>
  <c r="F5" i="11" s="1"/>
  <c r="G5" i="11" s="1"/>
  <c r="H5" i="11" s="1"/>
  <c r="I5" i="11" s="1"/>
  <c r="J5" i="11" s="1"/>
  <c r="K5" i="11" s="1"/>
  <c r="F18" i="11"/>
  <c r="G6" i="11"/>
  <c r="F13" i="9"/>
  <c r="F14" i="9" s="1"/>
  <c r="I21" i="11"/>
  <c r="I22" i="11" s="1"/>
  <c r="H17" i="9"/>
  <c r="I17" i="9" s="1"/>
  <c r="J17" i="9" s="1"/>
  <c r="K17" i="9" s="1"/>
  <c r="L17" i="9" s="1"/>
  <c r="M17" i="9" s="1"/>
  <c r="N17" i="9" s="1"/>
  <c r="O17" i="9" s="1"/>
  <c r="L5" i="11"/>
  <c r="M5" i="11" s="1"/>
  <c r="K6" i="11"/>
  <c r="H6" i="11"/>
  <c r="E14" i="9"/>
  <c r="E9" i="9"/>
  <c r="F9" i="9" s="1"/>
  <c r="F10" i="9" s="1"/>
  <c r="B4" i="9"/>
  <c r="F6" i="11"/>
  <c r="H17" i="11"/>
  <c r="G18" i="11"/>
  <c r="H11" i="11"/>
  <c r="F12" i="11"/>
  <c r="I6" i="11"/>
  <c r="J6" i="11"/>
  <c r="L77" i="10"/>
  <c r="N77" i="10"/>
  <c r="O77" i="10"/>
  <c r="K77" i="10"/>
  <c r="D72" i="10"/>
  <c r="F76" i="10" s="1"/>
  <c r="F13" i="11" s="1"/>
  <c r="D5" i="9"/>
  <c r="E5" i="9" s="1"/>
  <c r="F5" i="9" s="1"/>
  <c r="F6" i="9" s="1"/>
  <c r="B8" i="9"/>
  <c r="B16" i="9"/>
  <c r="B12" i="9"/>
  <c r="F56" i="6"/>
  <c r="G56" i="6"/>
  <c r="H56" i="6"/>
  <c r="I56" i="6"/>
  <c r="E56" i="6"/>
  <c r="F28" i="6"/>
  <c r="G28" i="6"/>
  <c r="H28" i="6"/>
  <c r="I28" i="6"/>
  <c r="E28" i="6"/>
  <c r="H42" i="6"/>
  <c r="I42" i="6"/>
  <c r="P7" i="11" l="1"/>
  <c r="P24" i="11" s="1"/>
  <c r="P77" i="10"/>
  <c r="M77" i="10"/>
  <c r="F24" i="11"/>
  <c r="C7" i="11"/>
  <c r="F14" i="11"/>
  <c r="D75" i="10"/>
  <c r="B7" i="11" s="1"/>
  <c r="H7" i="11"/>
  <c r="H57" i="6"/>
  <c r="F23" i="11"/>
  <c r="F8" i="11"/>
  <c r="H8" i="11"/>
  <c r="I18" i="9"/>
  <c r="G23" i="11"/>
  <c r="G8" i="11"/>
  <c r="I8" i="11"/>
  <c r="K8" i="11"/>
  <c r="G13" i="9"/>
  <c r="H13" i="9" s="1"/>
  <c r="J8" i="11"/>
  <c r="J21" i="11"/>
  <c r="F19" i="9"/>
  <c r="E10" i="9"/>
  <c r="L6" i="11"/>
  <c r="H18" i="9"/>
  <c r="G9" i="9"/>
  <c r="E6" i="9"/>
  <c r="E19" i="9" s="1"/>
  <c r="G14" i="9"/>
  <c r="H12" i="11"/>
  <c r="I11" i="11"/>
  <c r="M6" i="11"/>
  <c r="N5" i="11"/>
  <c r="H18" i="11"/>
  <c r="I17" i="11"/>
  <c r="H76" i="10"/>
  <c r="J76" i="10"/>
  <c r="J13" i="11" s="1"/>
  <c r="J24" i="11" s="1"/>
  <c r="I76" i="10"/>
  <c r="I13" i="11" s="1"/>
  <c r="I24" i="11" s="1"/>
  <c r="G76" i="10"/>
  <c r="G13" i="11" s="1"/>
  <c r="F77" i="10"/>
  <c r="J77" i="10"/>
  <c r="I57" i="6"/>
  <c r="F26" i="11" l="1"/>
  <c r="G77" i="10"/>
  <c r="I77" i="10"/>
  <c r="D76" i="10"/>
  <c r="Q76" i="10" s="1"/>
  <c r="G14" i="11"/>
  <c r="G24" i="11"/>
  <c r="G26" i="11" s="1"/>
  <c r="H77" i="10"/>
  <c r="H13" i="11"/>
  <c r="C13" i="11" s="1"/>
  <c r="J22" i="11"/>
  <c r="H24" i="11"/>
  <c r="B18" i="9"/>
  <c r="M8" i="11"/>
  <c r="L8" i="11"/>
  <c r="H23" i="11"/>
  <c r="H26" i="11" s="1"/>
  <c r="K21" i="11"/>
  <c r="L21" i="11" s="1"/>
  <c r="M21" i="11" s="1"/>
  <c r="N21" i="11" s="1"/>
  <c r="O21" i="11" s="1"/>
  <c r="P21" i="11" s="1"/>
  <c r="G10" i="9"/>
  <c r="H9" i="9"/>
  <c r="I13" i="9"/>
  <c r="H14" i="9"/>
  <c r="I18" i="11"/>
  <c r="J17" i="11"/>
  <c r="N6" i="11"/>
  <c r="C6" i="11" s="1"/>
  <c r="O5" i="11"/>
  <c r="O6" i="11" s="1"/>
  <c r="J11" i="11"/>
  <c r="I12" i="11"/>
  <c r="D77" i="10"/>
  <c r="G5" i="9"/>
  <c r="E34" i="6"/>
  <c r="E42" i="6" s="1"/>
  <c r="E57" i="6" s="1"/>
  <c r="H93" i="5"/>
  <c r="H127" i="5" s="1"/>
  <c r="I93" i="5"/>
  <c r="I127" i="5" s="1"/>
  <c r="J93" i="5"/>
  <c r="J127" i="5" s="1"/>
  <c r="K93" i="5"/>
  <c r="K127" i="5" s="1"/>
  <c r="L93" i="5"/>
  <c r="L127" i="5" s="1"/>
  <c r="M93" i="5"/>
  <c r="M127" i="5" s="1"/>
  <c r="N93" i="5"/>
  <c r="N127" i="5" s="1"/>
  <c r="O93" i="5"/>
  <c r="O127" i="5" s="1"/>
  <c r="P93" i="5"/>
  <c r="P127" i="5" s="1"/>
  <c r="Q93" i="5"/>
  <c r="Q127" i="5" s="1"/>
  <c r="R93" i="5"/>
  <c r="R127" i="5" s="1"/>
  <c r="T93" i="5"/>
  <c r="T127" i="5" s="1"/>
  <c r="U93" i="5"/>
  <c r="U127" i="5" s="1"/>
  <c r="V93" i="5"/>
  <c r="V127" i="5" s="1"/>
  <c r="W93" i="5"/>
  <c r="W127" i="5" s="1"/>
  <c r="X93" i="5"/>
  <c r="X127" i="5" s="1"/>
  <c r="Y93" i="5"/>
  <c r="Y127" i="5" s="1"/>
  <c r="D64" i="5"/>
  <c r="N72" i="4"/>
  <c r="N71" i="4"/>
  <c r="N70" i="4"/>
  <c r="N67" i="4"/>
  <c r="N63" i="4"/>
  <c r="N62" i="4"/>
  <c r="N61" i="4"/>
  <c r="E89" i="4"/>
  <c r="E98" i="4" s="1"/>
  <c r="V24" i="1"/>
  <c r="V21" i="1"/>
  <c r="V20" i="1"/>
  <c r="V12" i="1"/>
  <c r="V13" i="1"/>
  <c r="V14" i="1"/>
  <c r="V15" i="1"/>
  <c r="V16" i="1"/>
  <c r="V17" i="1"/>
  <c r="V11" i="1"/>
  <c r="O28" i="1"/>
  <c r="R28" i="1"/>
  <c r="S28" i="1"/>
  <c r="Q28" i="1"/>
  <c r="T28" i="1"/>
  <c r="Q25" i="1"/>
  <c r="P25" i="1"/>
  <c r="O25" i="1"/>
  <c r="D25" i="1"/>
  <c r="Q22" i="1"/>
  <c r="P22" i="1"/>
  <c r="O22" i="1"/>
  <c r="D22" i="1"/>
  <c r="T18" i="1"/>
  <c r="T26" i="1" s="1"/>
  <c r="S18" i="1"/>
  <c r="S26" i="1" s="1"/>
  <c r="R18" i="1"/>
  <c r="R26" i="1" s="1"/>
  <c r="Q18" i="1"/>
  <c r="P18" i="1"/>
  <c r="O18" i="1"/>
  <c r="N18" i="1"/>
  <c r="N26" i="1" s="1"/>
  <c r="D18" i="1"/>
  <c r="Q30" i="3"/>
  <c r="P30" i="3"/>
  <c r="O30" i="3"/>
  <c r="D30" i="3"/>
  <c r="F30" i="3" s="1"/>
  <c r="F29" i="3"/>
  <c r="Q27" i="3"/>
  <c r="M27" i="7" s="1"/>
  <c r="P27" i="3"/>
  <c r="I27" i="7" s="1"/>
  <c r="AC27" i="7" s="1"/>
  <c r="O27" i="3"/>
  <c r="D27" i="3"/>
  <c r="F27" i="3" s="1"/>
  <c r="F26" i="3"/>
  <c r="F25" i="3"/>
  <c r="T23" i="3"/>
  <c r="S23" i="3"/>
  <c r="R23" i="3"/>
  <c r="Q23" i="3"/>
  <c r="P23" i="3"/>
  <c r="O23" i="3"/>
  <c r="N23" i="3"/>
  <c r="N31" i="3" s="1"/>
  <c r="E23" i="3"/>
  <c r="E31" i="3" s="1"/>
  <c r="D23" i="3"/>
  <c r="F22" i="3"/>
  <c r="F21" i="3"/>
  <c r="F20" i="3"/>
  <c r="F19" i="3"/>
  <c r="F17" i="3"/>
  <c r="F16" i="3"/>
  <c r="P77" i="2"/>
  <c r="E77" i="2"/>
  <c r="K71" i="2"/>
  <c r="K72" i="2" s="1"/>
  <c r="J71" i="2"/>
  <c r="J72" i="2" s="1"/>
  <c r="I71" i="2"/>
  <c r="I72" i="2" s="1"/>
  <c r="H71" i="2"/>
  <c r="H72" i="2" s="1"/>
  <c r="G71" i="2"/>
  <c r="G72" i="2" s="1"/>
  <c r="F71" i="2"/>
  <c r="F72" i="2" s="1"/>
  <c r="E71" i="2"/>
  <c r="E72" i="2" s="1"/>
  <c r="D70" i="2"/>
  <c r="D69" i="2"/>
  <c r="G28" i="11" l="1"/>
  <c r="K57" i="12"/>
  <c r="J33" i="7"/>
  <c r="AU33" i="7" s="1"/>
  <c r="S31" i="3"/>
  <c r="V47" i="12"/>
  <c r="U23" i="7"/>
  <c r="N54" i="12"/>
  <c r="M30" i="7"/>
  <c r="P30" i="7" s="1"/>
  <c r="H28" i="11"/>
  <c r="O57" i="12"/>
  <c r="N33" i="7"/>
  <c r="AT33" i="7"/>
  <c r="F28" i="11"/>
  <c r="F33" i="7"/>
  <c r="G57" i="12"/>
  <c r="J47" i="12"/>
  <c r="I23" i="7"/>
  <c r="T31" i="3"/>
  <c r="Z47" i="12"/>
  <c r="Y23" i="7"/>
  <c r="C21" i="11"/>
  <c r="C24" i="11"/>
  <c r="B13" i="11"/>
  <c r="B24" i="11" s="1"/>
  <c r="N47" i="12"/>
  <c r="M23" i="7"/>
  <c r="F53" i="12"/>
  <c r="E29" i="7"/>
  <c r="N68" i="4"/>
  <c r="N98" i="4" s="1"/>
  <c r="C4" i="13" s="1"/>
  <c r="B22" i="11"/>
  <c r="C22" i="11"/>
  <c r="D31" i="7" s="1"/>
  <c r="C5" i="11"/>
  <c r="R31" i="3"/>
  <c r="R47" i="12"/>
  <c r="Q23" i="7"/>
  <c r="J54" i="12"/>
  <c r="I30" i="7"/>
  <c r="H14" i="11"/>
  <c r="AV33" i="7"/>
  <c r="G66" i="5"/>
  <c r="G67" i="5"/>
  <c r="P31" i="3"/>
  <c r="D31" i="3"/>
  <c r="O8" i="11"/>
  <c r="C8" i="11" s="1"/>
  <c r="Q31" i="3"/>
  <c r="N8" i="11"/>
  <c r="I14" i="11"/>
  <c r="I23" i="11"/>
  <c r="I26" i="11" s="1"/>
  <c r="J13" i="9"/>
  <c r="K13" i="9" s="1"/>
  <c r="L13" i="9" s="1"/>
  <c r="M13" i="9" s="1"/>
  <c r="N13" i="9" s="1"/>
  <c r="O13" i="9" s="1"/>
  <c r="I14" i="9"/>
  <c r="B14" i="9" s="1"/>
  <c r="I9" i="9"/>
  <c r="H10" i="9"/>
  <c r="G6" i="9"/>
  <c r="G19" i="9" s="1"/>
  <c r="O26" i="1"/>
  <c r="P26" i="1"/>
  <c r="J18" i="11"/>
  <c r="B18" i="11" s="1"/>
  <c r="K17" i="11"/>
  <c r="L17" i="11" s="1"/>
  <c r="M17" i="11" s="1"/>
  <c r="N17" i="11" s="1"/>
  <c r="O17" i="11" s="1"/>
  <c r="K11" i="11"/>
  <c r="J12" i="11"/>
  <c r="P5" i="11"/>
  <c r="P6" i="11" s="1"/>
  <c r="H5" i="9"/>
  <c r="D26" i="1"/>
  <c r="V25" i="1"/>
  <c r="P28" i="1"/>
  <c r="E28" i="1" s="1"/>
  <c r="V18" i="1"/>
  <c r="V22" i="1"/>
  <c r="O31" i="3"/>
  <c r="Q26" i="1"/>
  <c r="F23" i="3"/>
  <c r="F31" i="3" s="1"/>
  <c r="D93" i="5"/>
  <c r="D71" i="2"/>
  <c r="N55" i="12" l="1"/>
  <c r="M31" i="7"/>
  <c r="V19" i="12"/>
  <c r="AV29" i="7"/>
  <c r="AC29" i="7"/>
  <c r="F29" i="7"/>
  <c r="H29" i="7" s="1"/>
  <c r="AT29" i="7"/>
  <c r="J19" i="12"/>
  <c r="AD47" i="12"/>
  <c r="AD19" i="12" s="1"/>
  <c r="I28" i="11"/>
  <c r="S57" i="12"/>
  <c r="R33" i="7"/>
  <c r="AW33" i="7" s="1"/>
  <c r="R19" i="12"/>
  <c r="F25" i="12"/>
  <c r="AD53" i="12"/>
  <c r="AD25" i="12" s="1"/>
  <c r="G53" i="12"/>
  <c r="G25" i="12" s="1"/>
  <c r="Z19" i="12"/>
  <c r="AT23" i="7"/>
  <c r="AT16" i="7"/>
  <c r="AT26" i="7"/>
  <c r="AT20" i="7"/>
  <c r="AT27" i="7"/>
  <c r="AT19" i="7"/>
  <c r="AT22" i="7"/>
  <c r="AT17" i="7"/>
  <c r="AT24" i="7"/>
  <c r="AT28" i="7"/>
  <c r="AT18" i="7"/>
  <c r="AT25" i="7"/>
  <c r="AT21" i="7"/>
  <c r="AT30" i="7"/>
  <c r="V55" i="12"/>
  <c r="U31" i="7"/>
  <c r="O6" i="13"/>
  <c r="D32" i="13" s="1"/>
  <c r="L57" i="12"/>
  <c r="L29" i="12" s="1"/>
  <c r="K29" i="12"/>
  <c r="F75" i="2"/>
  <c r="G75" i="2"/>
  <c r="AC30" i="7"/>
  <c r="J30" i="7"/>
  <c r="L30" i="7" s="1"/>
  <c r="R55" i="12"/>
  <c r="S47" i="12" s="1"/>
  <c r="Q31" i="7"/>
  <c r="C18" i="11"/>
  <c r="Z55" i="12"/>
  <c r="Y31" i="7"/>
  <c r="H57" i="12"/>
  <c r="O5" i="13" s="1"/>
  <c r="G54" i="12"/>
  <c r="G43" i="12"/>
  <c r="G47" i="12"/>
  <c r="G46" i="12"/>
  <c r="G40" i="12"/>
  <c r="G44" i="12"/>
  <c r="G41" i="12"/>
  <c r="G42" i="12"/>
  <c r="G45" i="12"/>
  <c r="G29" i="12"/>
  <c r="N35" i="7"/>
  <c r="N26" i="12"/>
  <c r="P17" i="11"/>
  <c r="C17" i="11"/>
  <c r="AU17" i="7"/>
  <c r="O37" i="3"/>
  <c r="J55" i="12"/>
  <c r="L54" i="12" s="1"/>
  <c r="L26" i="12" s="1"/>
  <c r="I31" i="7"/>
  <c r="J26" i="12"/>
  <c r="K54" i="12"/>
  <c r="K26" i="12" s="1"/>
  <c r="AD54" i="12"/>
  <c r="AD26" i="12" s="1"/>
  <c r="C30" i="13"/>
  <c r="C2" i="13"/>
  <c r="N19" i="12"/>
  <c r="O47" i="12"/>
  <c r="AC23" i="7"/>
  <c r="J23" i="7"/>
  <c r="L23" i="7" s="1"/>
  <c r="F21" i="7"/>
  <c r="H21" i="7" s="1"/>
  <c r="F19" i="7"/>
  <c r="H19" i="7" s="1"/>
  <c r="F18" i="7"/>
  <c r="H18" i="7" s="1"/>
  <c r="F23" i="7"/>
  <c r="H23" i="7" s="1"/>
  <c r="F25" i="7"/>
  <c r="H25" i="7" s="1"/>
  <c r="F30" i="7"/>
  <c r="H30" i="7" s="1"/>
  <c r="F27" i="7"/>
  <c r="H27" i="7" s="1"/>
  <c r="F26" i="7"/>
  <c r="H26" i="7" s="1"/>
  <c r="F16" i="7"/>
  <c r="H16" i="7" s="1"/>
  <c r="F28" i="7"/>
  <c r="H28" i="7" s="1"/>
  <c r="F20" i="7"/>
  <c r="H20" i="7" s="1"/>
  <c r="F22" i="7"/>
  <c r="H22" i="7" s="1"/>
  <c r="F24" i="7"/>
  <c r="H24" i="7" s="1"/>
  <c r="F17" i="7"/>
  <c r="H17" i="7" s="1"/>
  <c r="O29" i="12"/>
  <c r="P57" i="12"/>
  <c r="AV22" i="7"/>
  <c r="AV25" i="7"/>
  <c r="AV18" i="7"/>
  <c r="AV21" i="7"/>
  <c r="AV19" i="7"/>
  <c r="AV20" i="7"/>
  <c r="AV16" i="7"/>
  <c r="G70" i="5"/>
  <c r="E70" i="5"/>
  <c r="J14" i="11"/>
  <c r="J23" i="11"/>
  <c r="J26" i="11" s="1"/>
  <c r="P8" i="11"/>
  <c r="H6" i="9"/>
  <c r="H19" i="9" s="1"/>
  <c r="J9" i="9"/>
  <c r="I10" i="9"/>
  <c r="Q5" i="11"/>
  <c r="Q6" i="11" s="1"/>
  <c r="B6" i="11"/>
  <c r="K12" i="11"/>
  <c r="K23" i="11" s="1"/>
  <c r="K26" i="11" s="1"/>
  <c r="L11" i="11"/>
  <c r="I5" i="9"/>
  <c r="I6" i="9" s="1"/>
  <c r="V26" i="1"/>
  <c r="D127" i="5"/>
  <c r="L75" i="2"/>
  <c r="L77" i="2" s="1"/>
  <c r="H75" i="2"/>
  <c r="O75" i="2"/>
  <c r="O77" i="2" s="1"/>
  <c r="K75" i="2"/>
  <c r="K77" i="2" s="1"/>
  <c r="N75" i="2"/>
  <c r="N77" i="2" s="1"/>
  <c r="J75" i="2"/>
  <c r="M75" i="2"/>
  <c r="M77" i="2" s="1"/>
  <c r="I75" i="2"/>
  <c r="D72" i="2"/>
  <c r="F76" i="2" s="1"/>
  <c r="AW25" i="7" l="1"/>
  <c r="AW21" i="7"/>
  <c r="AW30" i="7"/>
  <c r="AW27" i="7"/>
  <c r="AW24" i="7"/>
  <c r="AW20" i="7"/>
  <c r="AW26" i="7"/>
  <c r="AW22" i="7"/>
  <c r="AW18" i="7"/>
  <c r="AW28" i="7"/>
  <c r="AW16" i="7"/>
  <c r="AW19" i="7"/>
  <c r="AW17" i="7"/>
  <c r="AW29" i="7"/>
  <c r="AW23" i="7"/>
  <c r="D31" i="13"/>
  <c r="S19" i="12"/>
  <c r="G18" i="12"/>
  <c r="E62" i="5"/>
  <c r="Z27" i="12"/>
  <c r="AA40" i="12"/>
  <c r="AA12" i="12" s="1"/>
  <c r="AA42" i="12"/>
  <c r="AA14" i="12" s="1"/>
  <c r="AA45" i="12"/>
  <c r="AA17" i="12" s="1"/>
  <c r="V27" i="12"/>
  <c r="J28" i="11"/>
  <c r="V33" i="7"/>
  <c r="W57" i="12"/>
  <c r="W42" i="12" s="1"/>
  <c r="O19" i="12"/>
  <c r="M54" i="12"/>
  <c r="M26" i="12" s="1"/>
  <c r="G13" i="12"/>
  <c r="E60" i="5"/>
  <c r="G19" i="12"/>
  <c r="F31" i="6" s="1"/>
  <c r="G55" i="12"/>
  <c r="H53" i="12"/>
  <c r="H25" i="12" s="1"/>
  <c r="T47" i="12"/>
  <c r="T19" i="12" s="1"/>
  <c r="T57" i="12"/>
  <c r="T29" i="12" s="1"/>
  <c r="S29" i="12"/>
  <c r="L47" i="12"/>
  <c r="AV28" i="7"/>
  <c r="AV23" i="7"/>
  <c r="AV24" i="7"/>
  <c r="AV26" i="7"/>
  <c r="AV27" i="7"/>
  <c r="AV30" i="7"/>
  <c r="AV17" i="7"/>
  <c r="G14" i="12"/>
  <c r="E61" i="5"/>
  <c r="AB33" i="7"/>
  <c r="K28" i="11"/>
  <c r="AA57" i="12"/>
  <c r="AA46" i="12" s="1"/>
  <c r="AA18" i="12" s="1"/>
  <c r="Z33" i="7"/>
  <c r="P29" i="12"/>
  <c r="G16" i="12"/>
  <c r="E63" i="5"/>
  <c r="G15" i="12"/>
  <c r="I15" i="12" s="1"/>
  <c r="AT31" i="7"/>
  <c r="W47" i="12"/>
  <c r="N27" i="12"/>
  <c r="O44" i="12"/>
  <c r="O46" i="12"/>
  <c r="O40" i="12"/>
  <c r="O12" i="12" s="1"/>
  <c r="O53" i="12"/>
  <c r="O45" i="12"/>
  <c r="O42" i="12"/>
  <c r="O43" i="12"/>
  <c r="O41" i="12"/>
  <c r="J27" i="12"/>
  <c r="K43" i="12"/>
  <c r="K42" i="12"/>
  <c r="K45" i="12"/>
  <c r="K40" i="12"/>
  <c r="K46" i="12"/>
  <c r="K44" i="12"/>
  <c r="K53" i="12"/>
  <c r="K41" i="12"/>
  <c r="L46" i="12"/>
  <c r="L18" i="12" s="1"/>
  <c r="L41" i="12"/>
  <c r="L13" i="12" s="1"/>
  <c r="L44" i="12"/>
  <c r="L16" i="12" s="1"/>
  <c r="L45" i="12"/>
  <c r="L17" i="12" s="1"/>
  <c r="L53" i="12"/>
  <c r="L25" i="12" s="1"/>
  <c r="L42" i="12"/>
  <c r="L14" i="12" s="1"/>
  <c r="L40" i="12"/>
  <c r="L12" i="12" s="1"/>
  <c r="L43" i="12"/>
  <c r="L15" i="12" s="1"/>
  <c r="AD55" i="12"/>
  <c r="AD27" i="12" s="1"/>
  <c r="H46" i="12"/>
  <c r="H40" i="12"/>
  <c r="H44" i="12"/>
  <c r="H43" i="12"/>
  <c r="H15" i="12" s="1"/>
  <c r="H42" i="12"/>
  <c r="H29" i="12"/>
  <c r="H45" i="12"/>
  <c r="H17" i="12" s="1"/>
  <c r="H41" i="12"/>
  <c r="I41" i="12" s="1"/>
  <c r="O7" i="13"/>
  <c r="D33" i="13" s="1"/>
  <c r="AC31" i="7"/>
  <c r="J21" i="7"/>
  <c r="L21" i="7" s="1"/>
  <c r="J22" i="7"/>
  <c r="L22" i="7" s="1"/>
  <c r="J24" i="7"/>
  <c r="L24" i="7" s="1"/>
  <c r="J16" i="7"/>
  <c r="L16" i="7" s="1"/>
  <c r="J25" i="7"/>
  <c r="L25" i="7" s="1"/>
  <c r="J17" i="7"/>
  <c r="L17" i="7" s="1"/>
  <c r="J28" i="7"/>
  <c r="L28" i="7" s="1"/>
  <c r="AU29" i="7"/>
  <c r="J19" i="7"/>
  <c r="L19" i="7" s="1"/>
  <c r="J20" i="7"/>
  <c r="L20" i="7" s="1"/>
  <c r="AU19" i="7"/>
  <c r="J29" i="7"/>
  <c r="L29" i="7" s="1"/>
  <c r="J26" i="7"/>
  <c r="L26" i="7" s="1"/>
  <c r="J18" i="7"/>
  <c r="L18" i="7" s="1"/>
  <c r="AU23" i="7"/>
  <c r="AU21" i="7"/>
  <c r="AU24" i="7"/>
  <c r="AU26" i="7"/>
  <c r="AU22" i="7"/>
  <c r="AU16" i="7"/>
  <c r="AU18" i="7"/>
  <c r="J27" i="7"/>
  <c r="L27" i="7" s="1"/>
  <c r="AU30" i="7"/>
  <c r="AU28" i="7"/>
  <c r="AU27" i="7"/>
  <c r="AU20" i="7"/>
  <c r="AU25" i="7"/>
  <c r="G17" i="12"/>
  <c r="I17" i="12" s="1"/>
  <c r="G12" i="12"/>
  <c r="E59" i="5"/>
  <c r="AA59" i="5" s="1"/>
  <c r="I40" i="12"/>
  <c r="G26" i="12"/>
  <c r="I26" i="12" s="1"/>
  <c r="I54" i="12"/>
  <c r="R27" i="12"/>
  <c r="S40" i="12"/>
  <c r="S45" i="12"/>
  <c r="S53" i="12"/>
  <c r="S54" i="12"/>
  <c r="S41" i="12"/>
  <c r="T46" i="12"/>
  <c r="T18" i="12" s="1"/>
  <c r="T44" i="12"/>
  <c r="T16" i="12" s="1"/>
  <c r="T45" i="12"/>
  <c r="T17" i="12" s="1"/>
  <c r="S44" i="12"/>
  <c r="S43" i="12"/>
  <c r="S46" i="12"/>
  <c r="S42" i="12"/>
  <c r="T54" i="12"/>
  <c r="T26" i="12" s="1"/>
  <c r="T40" i="12"/>
  <c r="T12" i="12" s="1"/>
  <c r="T42" i="12"/>
  <c r="T14" i="12" s="1"/>
  <c r="T43" i="12"/>
  <c r="T15" i="12" s="1"/>
  <c r="T41" i="12"/>
  <c r="T13" i="12" s="1"/>
  <c r="T53" i="12"/>
  <c r="T25" i="12" s="1"/>
  <c r="I53" i="12"/>
  <c r="I25" i="12"/>
  <c r="K47" i="12"/>
  <c r="AY33" i="7"/>
  <c r="AY21" i="7" s="1"/>
  <c r="AX33" i="7"/>
  <c r="BC33" i="7"/>
  <c r="AW31" i="7"/>
  <c r="AQ28" i="7"/>
  <c r="AN24" i="7"/>
  <c r="AN28" i="7"/>
  <c r="AH24" i="7"/>
  <c r="AH28" i="7"/>
  <c r="F34" i="7"/>
  <c r="V17" i="7"/>
  <c r="X17" i="7" s="1"/>
  <c r="V21" i="7"/>
  <c r="X21" i="7" s="1"/>
  <c r="V19" i="7"/>
  <c r="X19" i="7" s="1"/>
  <c r="V24" i="7"/>
  <c r="X24" i="7" s="1"/>
  <c r="V28" i="7"/>
  <c r="X28" i="7" s="1"/>
  <c r="V26" i="7"/>
  <c r="X26" i="7" s="1"/>
  <c r="V25" i="7"/>
  <c r="X25" i="7" s="1"/>
  <c r="V16" i="7"/>
  <c r="X16" i="7" s="1"/>
  <c r="V23" i="7"/>
  <c r="X23" i="7" s="1"/>
  <c r="V22" i="7"/>
  <c r="X22" i="7" s="1"/>
  <c r="V20" i="7"/>
  <c r="X20" i="7" s="1"/>
  <c r="V30" i="7"/>
  <c r="X30" i="7" s="1"/>
  <c r="V29" i="7"/>
  <c r="X29" i="7" s="1"/>
  <c r="V27" i="7"/>
  <c r="X27" i="7" s="1"/>
  <c r="V18" i="7"/>
  <c r="X18" i="7" s="1"/>
  <c r="B8" i="11"/>
  <c r="K14" i="11"/>
  <c r="I19" i="9"/>
  <c r="J10" i="9"/>
  <c r="K9" i="9"/>
  <c r="Q23" i="11"/>
  <c r="R5" i="11"/>
  <c r="R6" i="11" s="1"/>
  <c r="M11" i="11"/>
  <c r="L12" i="11"/>
  <c r="J5" i="9"/>
  <c r="J6" i="9" s="1"/>
  <c r="W26" i="1"/>
  <c r="H76" i="2"/>
  <c r="H77" i="2" s="1"/>
  <c r="G76" i="2"/>
  <c r="G77" i="2" s="1"/>
  <c r="J76" i="2"/>
  <c r="J77" i="2" s="1"/>
  <c r="I76" i="2"/>
  <c r="I77" i="2" s="1"/>
  <c r="D75" i="2"/>
  <c r="W14" i="12" l="1"/>
  <c r="H16" i="12"/>
  <c r="F63" i="5"/>
  <c r="O15" i="12"/>
  <c r="W43" i="12"/>
  <c r="S16" i="12"/>
  <c r="U44" i="12"/>
  <c r="U16" i="12" s="1"/>
  <c r="S13" i="12"/>
  <c r="U41" i="12"/>
  <c r="U13" i="12" s="1"/>
  <c r="K14" i="12"/>
  <c r="M42" i="12"/>
  <c r="M14" i="12" s="1"/>
  <c r="W19" i="12"/>
  <c r="W54" i="12"/>
  <c r="S14" i="12"/>
  <c r="U42" i="12"/>
  <c r="U14" i="12" s="1"/>
  <c r="S26" i="12"/>
  <c r="U54" i="12"/>
  <c r="U26" i="12" s="1"/>
  <c r="E64" i="5"/>
  <c r="E127" i="5" s="1"/>
  <c r="AU31" i="7"/>
  <c r="H12" i="12"/>
  <c r="F59" i="5"/>
  <c r="H47" i="12"/>
  <c r="K18" i="12"/>
  <c r="M46" i="12"/>
  <c r="M18" i="12" s="1"/>
  <c r="K15" i="12"/>
  <c r="M43" i="12"/>
  <c r="M15" i="12" s="1"/>
  <c r="O14" i="12"/>
  <c r="O18" i="12"/>
  <c r="I44" i="12"/>
  <c r="W46" i="12"/>
  <c r="W45" i="12"/>
  <c r="W40" i="12"/>
  <c r="W41" i="12"/>
  <c r="AA41" i="12"/>
  <c r="AA13" i="12" s="1"/>
  <c r="AA43" i="12"/>
  <c r="AA15" i="12" s="1"/>
  <c r="U47" i="12"/>
  <c r="U19" i="12" s="1"/>
  <c r="S12" i="12"/>
  <c r="U40" i="12"/>
  <c r="U12" i="12" s="1"/>
  <c r="K16" i="12"/>
  <c r="M44" i="12"/>
  <c r="M16" i="12" s="1"/>
  <c r="G27" i="12"/>
  <c r="S18" i="12"/>
  <c r="U46" i="12"/>
  <c r="U18" i="12" s="1"/>
  <c r="S25" i="12"/>
  <c r="U53" i="12"/>
  <c r="U25" i="12" s="1"/>
  <c r="I12" i="12"/>
  <c r="H14" i="12"/>
  <c r="F61" i="5"/>
  <c r="G61" i="5" s="1"/>
  <c r="H18" i="12"/>
  <c r="I18" i="12" s="1"/>
  <c r="F62" i="5"/>
  <c r="K13" i="12"/>
  <c r="M41" i="12"/>
  <c r="M13" i="12" s="1"/>
  <c r="K12" i="12"/>
  <c r="M40" i="12"/>
  <c r="M12" i="12" s="1"/>
  <c r="O17" i="12"/>
  <c r="O16" i="12"/>
  <c r="I43" i="12"/>
  <c r="I42" i="12"/>
  <c r="AV31" i="7"/>
  <c r="AA47" i="12"/>
  <c r="W53" i="12"/>
  <c r="AA44" i="12"/>
  <c r="AA16" i="12" s="1"/>
  <c r="I46" i="12"/>
  <c r="I14" i="12"/>
  <c r="L19" i="12"/>
  <c r="L55" i="12"/>
  <c r="L27" i="12" s="1"/>
  <c r="X57" i="12"/>
  <c r="W29" i="12"/>
  <c r="AE57" i="12"/>
  <c r="AE29" i="12" s="1"/>
  <c r="K19" i="12"/>
  <c r="K55" i="12"/>
  <c r="M47" i="12"/>
  <c r="M19" i="12" s="1"/>
  <c r="S15" i="12"/>
  <c r="U43" i="12"/>
  <c r="U15" i="12" s="1"/>
  <c r="S17" i="12"/>
  <c r="U45" i="12"/>
  <c r="U17" i="12" s="1"/>
  <c r="I45" i="12"/>
  <c r="H13" i="12"/>
  <c r="I13" i="12" s="1"/>
  <c r="F60" i="5"/>
  <c r="K25" i="12"/>
  <c r="M53" i="12"/>
  <c r="M25" i="12" s="1"/>
  <c r="K17" i="12"/>
  <c r="M45" i="12"/>
  <c r="M17" i="12" s="1"/>
  <c r="O13" i="12"/>
  <c r="O25" i="12"/>
  <c r="O54" i="12"/>
  <c r="P53" i="12"/>
  <c r="Q53" i="12"/>
  <c r="Q25" i="12" s="1"/>
  <c r="AE43" i="12"/>
  <c r="AE15" i="12" s="1"/>
  <c r="I16" i="12"/>
  <c r="O10" i="13"/>
  <c r="D36" i="13" s="1"/>
  <c r="AA29" i="12"/>
  <c r="AB57" i="12"/>
  <c r="O8" i="13"/>
  <c r="G60" i="5"/>
  <c r="W44" i="12"/>
  <c r="AA54" i="12"/>
  <c r="AA26" i="12" s="1"/>
  <c r="AA53" i="12"/>
  <c r="AA25" i="12" s="1"/>
  <c r="G62" i="5"/>
  <c r="AY26" i="7"/>
  <c r="AY28" i="7"/>
  <c r="AY29" i="7"/>
  <c r="AY30" i="7"/>
  <c r="AY24" i="7"/>
  <c r="AY27" i="7"/>
  <c r="AY18" i="7"/>
  <c r="AY22" i="7"/>
  <c r="AY20" i="7"/>
  <c r="AY17" i="7"/>
  <c r="AY16" i="7"/>
  <c r="AY25" i="7"/>
  <c r="AY19" i="7"/>
  <c r="AY23" i="7"/>
  <c r="AX30" i="7"/>
  <c r="AX18" i="7"/>
  <c r="AX22" i="7"/>
  <c r="AX26" i="7"/>
  <c r="AX24" i="7"/>
  <c r="AX17" i="7"/>
  <c r="AX20" i="7"/>
  <c r="AX27" i="7"/>
  <c r="AX29" i="7"/>
  <c r="AX16" i="7"/>
  <c r="AX23" i="7"/>
  <c r="AX25" i="7"/>
  <c r="AX28" i="7"/>
  <c r="AX19" i="7"/>
  <c r="AX21" i="7"/>
  <c r="AZ33" i="7"/>
  <c r="AT34" i="7" s="1"/>
  <c r="J35" i="7"/>
  <c r="K33" i="7" s="1"/>
  <c r="L14" i="11"/>
  <c r="L23" i="11"/>
  <c r="L26" i="11" s="1"/>
  <c r="J19" i="9"/>
  <c r="K10" i="9"/>
  <c r="L9" i="9"/>
  <c r="M12" i="11"/>
  <c r="M23" i="11" s="1"/>
  <c r="M26" i="11" s="1"/>
  <c r="N11" i="11"/>
  <c r="R23" i="11"/>
  <c r="S5" i="11"/>
  <c r="S6" i="11" s="1"/>
  <c r="K5" i="9"/>
  <c r="K6" i="9" s="1"/>
  <c r="D76" i="2"/>
  <c r="Q76" i="2" s="1"/>
  <c r="D77" i="2"/>
  <c r="Q75" i="2"/>
  <c r="F77" i="2"/>
  <c r="W17" i="12" l="1"/>
  <c r="F64" i="5"/>
  <c r="F93" i="5" s="1"/>
  <c r="G59" i="5"/>
  <c r="G64" i="5" s="1"/>
  <c r="G93" i="5" s="1"/>
  <c r="G127" i="5" s="1"/>
  <c r="D34" i="13"/>
  <c r="P25" i="12"/>
  <c r="P47" i="12"/>
  <c r="P19" i="12" s="1"/>
  <c r="W18" i="12"/>
  <c r="W26" i="12"/>
  <c r="Y54" i="12"/>
  <c r="Y26" i="12" s="1"/>
  <c r="O26" i="12"/>
  <c r="P54" i="12"/>
  <c r="P26" i="12" s="1"/>
  <c r="Q54" i="12"/>
  <c r="Q26" i="12" s="1"/>
  <c r="O55" i="12"/>
  <c r="O27" i="12" s="1"/>
  <c r="K27" i="12"/>
  <c r="M55" i="12"/>
  <c r="M27" i="12" s="1"/>
  <c r="X29" i="12"/>
  <c r="X43" i="12"/>
  <c r="X15" i="12" s="1"/>
  <c r="X53" i="12"/>
  <c r="X25" i="12" s="1"/>
  <c r="X45" i="12"/>
  <c r="X17" i="12" s="1"/>
  <c r="AF57" i="12"/>
  <c r="AF29" i="12" s="1"/>
  <c r="X44" i="12"/>
  <c r="X16" i="12" s="1"/>
  <c r="X54" i="12"/>
  <c r="X26" i="12" s="1"/>
  <c r="X40" i="12"/>
  <c r="X12" i="12" s="1"/>
  <c r="X47" i="12"/>
  <c r="X41" i="12"/>
  <c r="X13" i="12" s="1"/>
  <c r="X46" i="12"/>
  <c r="X18" i="12" s="1"/>
  <c r="X42" i="12"/>
  <c r="W25" i="12"/>
  <c r="Y53" i="12"/>
  <c r="Y25" i="12" s="1"/>
  <c r="W13" i="12"/>
  <c r="M28" i="11"/>
  <c r="AL57" i="12"/>
  <c r="AK33" i="7"/>
  <c r="AH31" i="7"/>
  <c r="L28" i="11"/>
  <c r="AH33" i="7"/>
  <c r="AI57" i="12"/>
  <c r="W16" i="12"/>
  <c r="AB29" i="12"/>
  <c r="AB46" i="12"/>
  <c r="AB18" i="12" s="1"/>
  <c r="AB41" i="12"/>
  <c r="AB13" i="12" s="1"/>
  <c r="AB53" i="12"/>
  <c r="AB25" i="12" s="1"/>
  <c r="AB54" i="12"/>
  <c r="AB26" i="12" s="1"/>
  <c r="AB44" i="12"/>
  <c r="AB16" i="12" s="1"/>
  <c r="AB47" i="12"/>
  <c r="AB19" i="12" s="1"/>
  <c r="AB42" i="12"/>
  <c r="AB14" i="12" s="1"/>
  <c r="AB43" i="12"/>
  <c r="AB15" i="12" s="1"/>
  <c r="AB40" i="12"/>
  <c r="AB12" i="12" s="1"/>
  <c r="AB45" i="12"/>
  <c r="AB17" i="12" s="1"/>
  <c r="O9" i="13"/>
  <c r="D35" i="13" s="1"/>
  <c r="AA19" i="12"/>
  <c r="AA55" i="12"/>
  <c r="AA27" i="12" s="1"/>
  <c r="W12" i="12"/>
  <c r="Y40" i="12"/>
  <c r="Y12" i="12" s="1"/>
  <c r="H55" i="12"/>
  <c r="H19" i="12"/>
  <c r="I47" i="12"/>
  <c r="W55" i="12"/>
  <c r="W15" i="12"/>
  <c r="Y43" i="12"/>
  <c r="Y15" i="12" s="1"/>
  <c r="AY31" i="7"/>
  <c r="AI31" i="7"/>
  <c r="AZ21" i="7"/>
  <c r="AX31" i="7"/>
  <c r="AZ23" i="7"/>
  <c r="AZ20" i="7"/>
  <c r="AZ22" i="7"/>
  <c r="AZ19" i="7"/>
  <c r="AZ16" i="7"/>
  <c r="AZ17" i="7"/>
  <c r="AZ18" i="7"/>
  <c r="AZ28" i="7"/>
  <c r="AZ29" i="7"/>
  <c r="AZ24" i="7"/>
  <c r="AZ30" i="7"/>
  <c r="AZ25" i="7"/>
  <c r="AZ27" i="7"/>
  <c r="AZ26" i="7"/>
  <c r="AK31" i="7"/>
  <c r="F35" i="7"/>
  <c r="R35" i="7"/>
  <c r="V35" i="7"/>
  <c r="M14" i="11"/>
  <c r="K19" i="9"/>
  <c r="L10" i="9"/>
  <c r="M9" i="9"/>
  <c r="O11" i="11"/>
  <c r="C11" i="11" s="1"/>
  <c r="N12" i="11"/>
  <c r="N23" i="11" s="1"/>
  <c r="N26" i="11" s="1"/>
  <c r="T5" i="11"/>
  <c r="T6" i="11" s="1"/>
  <c r="S23" i="11"/>
  <c r="L5" i="9"/>
  <c r="L6" i="9" s="1"/>
  <c r="P43" i="12" l="1"/>
  <c r="P41" i="12"/>
  <c r="P40" i="12"/>
  <c r="P12" i="12" s="1"/>
  <c r="P42" i="12"/>
  <c r="N28" i="11"/>
  <c r="AO57" i="12"/>
  <c r="AN33" i="7"/>
  <c r="AN31" i="7" s="1"/>
  <c r="I19" i="12"/>
  <c r="G31" i="6"/>
  <c r="G34" i="6" s="1"/>
  <c r="G42" i="6" s="1"/>
  <c r="G57" i="6" s="1"/>
  <c r="P44" i="12"/>
  <c r="X19" i="12"/>
  <c r="X55" i="12"/>
  <c r="X27" i="12" s="1"/>
  <c r="Y47" i="12"/>
  <c r="Y19" i="12" s="1"/>
  <c r="P46" i="12"/>
  <c r="H27" i="12"/>
  <c r="I27" i="12" s="1"/>
  <c r="I55" i="12"/>
  <c r="AI29" i="12"/>
  <c r="O11" i="13"/>
  <c r="D37" i="13" s="1"/>
  <c r="AI53" i="12"/>
  <c r="AI25" i="12" s="1"/>
  <c r="AI43" i="12"/>
  <c r="AI15" i="12" s="1"/>
  <c r="AJ57" i="12"/>
  <c r="AI54" i="12"/>
  <c r="AI26" i="12" s="1"/>
  <c r="AI44" i="12"/>
  <c r="AI16" i="12" s="1"/>
  <c r="AI42" i="12"/>
  <c r="AI14" i="12" s="1"/>
  <c r="AI46" i="12"/>
  <c r="AI18" i="12" s="1"/>
  <c r="AI41" i="12"/>
  <c r="AI13" i="12" s="1"/>
  <c r="AI45" i="12"/>
  <c r="AI17" i="12" s="1"/>
  <c r="Y41" i="12"/>
  <c r="Y13" i="12" s="1"/>
  <c r="X14" i="12"/>
  <c r="Y42" i="12"/>
  <c r="Y14" i="12" s="1"/>
  <c r="Y46" i="12"/>
  <c r="Y18" i="12" s="1"/>
  <c r="P45" i="12"/>
  <c r="W27" i="12"/>
  <c r="Y44" i="12"/>
  <c r="Y16" i="12" s="1"/>
  <c r="AL29" i="12"/>
  <c r="AL54" i="12"/>
  <c r="AL26" i="12" s="1"/>
  <c r="AM57" i="12"/>
  <c r="AL43" i="12"/>
  <c r="AL15" i="12" s="1"/>
  <c r="AL44" i="12"/>
  <c r="AL16" i="12" s="1"/>
  <c r="AL53" i="12"/>
  <c r="AL25" i="12" s="1"/>
  <c r="AL41" i="12"/>
  <c r="AL13" i="12" s="1"/>
  <c r="AL42" i="12"/>
  <c r="AL14" i="12" s="1"/>
  <c r="AL46" i="12"/>
  <c r="AL18" i="12" s="1"/>
  <c r="AL45" i="12"/>
  <c r="AL17" i="12" s="1"/>
  <c r="Y45" i="12"/>
  <c r="Y17" i="12" s="1"/>
  <c r="AZ31" i="7"/>
  <c r="AH17" i="7"/>
  <c r="AH21" i="7"/>
  <c r="AH29" i="7"/>
  <c r="AH18" i="7"/>
  <c r="AH22" i="7"/>
  <c r="AH26" i="7"/>
  <c r="AH19" i="7"/>
  <c r="AH25" i="7"/>
  <c r="AH20" i="7"/>
  <c r="AK26" i="7"/>
  <c r="AK21" i="7"/>
  <c r="AK17" i="7"/>
  <c r="AK29" i="7"/>
  <c r="AK30" i="7" s="1"/>
  <c r="AK25" i="7"/>
  <c r="AK20" i="7"/>
  <c r="AK28" i="7"/>
  <c r="AK24" i="7"/>
  <c r="AK19" i="7"/>
  <c r="AK22" i="7"/>
  <c r="AK18" i="7"/>
  <c r="AL31" i="7"/>
  <c r="N14" i="11"/>
  <c r="L19" i="9"/>
  <c r="M10" i="9"/>
  <c r="N9" i="9"/>
  <c r="U5" i="11"/>
  <c r="U6" i="11" s="1"/>
  <c r="T23" i="11"/>
  <c r="P11" i="11"/>
  <c r="P12" i="11" s="1"/>
  <c r="O12" i="11"/>
  <c r="M5" i="9"/>
  <c r="M6" i="9" s="1"/>
  <c r="O23" i="11" l="1"/>
  <c r="C12" i="11"/>
  <c r="Y55" i="12"/>
  <c r="Y27" i="12" s="1"/>
  <c r="P14" i="12"/>
  <c r="Q42" i="12"/>
  <c r="Q14" i="12" s="1"/>
  <c r="AM29" i="12"/>
  <c r="AM44" i="12"/>
  <c r="AM16" i="12" s="1"/>
  <c r="AM54" i="12"/>
  <c r="AM26" i="12" s="1"/>
  <c r="AM53" i="12"/>
  <c r="AM25" i="12" s="1"/>
  <c r="AM43" i="12"/>
  <c r="AM15" i="12" s="1"/>
  <c r="AM42" i="12"/>
  <c r="AM14" i="12" s="1"/>
  <c r="AM46" i="12"/>
  <c r="AM18" i="12" s="1"/>
  <c r="AM45" i="12"/>
  <c r="AM17" i="12" s="1"/>
  <c r="AM41" i="12"/>
  <c r="AM13" i="12" s="1"/>
  <c r="O12" i="13"/>
  <c r="P18" i="12"/>
  <c r="Q46" i="12"/>
  <c r="Q18" i="12" s="1"/>
  <c r="P16" i="12"/>
  <c r="Q44" i="12"/>
  <c r="Q16" i="12" s="1"/>
  <c r="AO29" i="12"/>
  <c r="AO54" i="12"/>
  <c r="AO26" i="12" s="1"/>
  <c r="AO44" i="12"/>
  <c r="AO16" i="12" s="1"/>
  <c r="AO43" i="12"/>
  <c r="AO15" i="12" s="1"/>
  <c r="AO53" i="12"/>
  <c r="AO25" i="12" s="1"/>
  <c r="AO41" i="12"/>
  <c r="AO13" i="12" s="1"/>
  <c r="AO42" i="12"/>
  <c r="AO14" i="12" s="1"/>
  <c r="AO46" i="12"/>
  <c r="AO18" i="12" s="1"/>
  <c r="AO45" i="12"/>
  <c r="AO17" i="12" s="1"/>
  <c r="P17" i="12"/>
  <c r="Q45" i="12"/>
  <c r="Q17" i="12" s="1"/>
  <c r="AJ29" i="12"/>
  <c r="AJ53" i="12"/>
  <c r="AJ25" i="12" s="1"/>
  <c r="AJ42" i="12"/>
  <c r="AJ14" i="12" s="1"/>
  <c r="AJ46" i="12"/>
  <c r="AJ18" i="12" s="1"/>
  <c r="AJ45" i="12"/>
  <c r="AJ17" i="12" s="1"/>
  <c r="AJ54" i="12"/>
  <c r="AJ26" i="12" s="1"/>
  <c r="AJ44" i="12"/>
  <c r="AJ16" i="12" s="1"/>
  <c r="AJ43" i="12"/>
  <c r="AJ15" i="12" s="1"/>
  <c r="AJ41" i="12"/>
  <c r="AJ13" i="12" s="1"/>
  <c r="P13" i="12"/>
  <c r="Q41" i="12"/>
  <c r="Q13" i="12" s="1"/>
  <c r="P15" i="12"/>
  <c r="Q43" i="12"/>
  <c r="Q15" i="12" s="1"/>
  <c r="AK27" i="7"/>
  <c r="AH27" i="7"/>
  <c r="AH30" i="7"/>
  <c r="AL25" i="7"/>
  <c r="AL20" i="7"/>
  <c r="AL17" i="7"/>
  <c r="AL21" i="7"/>
  <c r="AL29" i="7"/>
  <c r="AL30" i="7" s="1"/>
  <c r="AL18" i="7"/>
  <c r="AL22" i="7"/>
  <c r="AL26" i="7"/>
  <c r="AL19" i="7"/>
  <c r="AI26" i="7"/>
  <c r="AI19" i="7"/>
  <c r="AI25" i="7"/>
  <c r="AI20" i="7"/>
  <c r="AI17" i="7"/>
  <c r="AI21" i="7"/>
  <c r="AI29" i="7"/>
  <c r="AI18" i="7"/>
  <c r="AI22" i="7"/>
  <c r="P14" i="11"/>
  <c r="P23" i="11"/>
  <c r="P26" i="11" s="1"/>
  <c r="P28" i="11" s="1"/>
  <c r="O14" i="11"/>
  <c r="C14" i="11" s="1"/>
  <c r="M19" i="9"/>
  <c r="N10" i="9"/>
  <c r="O9" i="9"/>
  <c r="U23" i="11"/>
  <c r="V5" i="11"/>
  <c r="V6" i="11" s="1"/>
  <c r="B12" i="11"/>
  <c r="N5" i="9"/>
  <c r="N6" i="9" s="1"/>
  <c r="D38" i="13" l="1"/>
  <c r="O26" i="11"/>
  <c r="C23" i="11"/>
  <c r="AI30" i="7"/>
  <c r="B14" i="11"/>
  <c r="B23" i="11"/>
  <c r="B26" i="11" s="1"/>
  <c r="E26" i="1" s="1"/>
  <c r="N19" i="9"/>
  <c r="O10" i="9"/>
  <c r="B10" i="9" s="1"/>
  <c r="V23" i="11"/>
  <c r="W5" i="11"/>
  <c r="O5" i="9"/>
  <c r="O6" i="9" s="1"/>
  <c r="O28" i="11" l="1"/>
  <c r="AR57" i="12"/>
  <c r="AQ33" i="7"/>
  <c r="AQ31" i="7" s="1"/>
  <c r="C26" i="11"/>
  <c r="E21" i="1"/>
  <c r="E14" i="1"/>
  <c r="E20" i="1"/>
  <c r="E15" i="1"/>
  <c r="E11" i="1"/>
  <c r="E12" i="1"/>
  <c r="E16" i="1"/>
  <c r="E24" i="1"/>
  <c r="E13" i="1"/>
  <c r="E17" i="1"/>
  <c r="F26" i="1"/>
  <c r="X26" i="1"/>
  <c r="W6" i="11"/>
  <c r="W23" i="11" s="1"/>
  <c r="X5" i="11"/>
  <c r="P5" i="9"/>
  <c r="P6" i="9" s="1"/>
  <c r="AQ29" i="7" l="1"/>
  <c r="AQ30" i="7" s="1"/>
  <c r="AQ26" i="7"/>
  <c r="AQ19" i="7"/>
  <c r="AQ17" i="7"/>
  <c r="AQ18" i="7"/>
  <c r="AQ24" i="7"/>
  <c r="AQ21" i="7"/>
  <c r="AQ22" i="7"/>
  <c r="AQ20" i="7"/>
  <c r="AQ25" i="7"/>
  <c r="AR29" i="12"/>
  <c r="AR53" i="12"/>
  <c r="AR25" i="12" s="1"/>
  <c r="AR54" i="12"/>
  <c r="AR26" i="12" s="1"/>
  <c r="AR58" i="12"/>
  <c r="AR44" i="12"/>
  <c r="AR16" i="12" s="1"/>
  <c r="AR43" i="12"/>
  <c r="AR15" i="12" s="1"/>
  <c r="AR45" i="12"/>
  <c r="AR17" i="12" s="1"/>
  <c r="AR46" i="12"/>
  <c r="AR18" i="12" s="1"/>
  <c r="AR41" i="12"/>
  <c r="AR13" i="12" s="1"/>
  <c r="AR42" i="12"/>
  <c r="AR14" i="12" s="1"/>
  <c r="C28" i="11"/>
  <c r="D57" i="12"/>
  <c r="D29" i="12" s="1"/>
  <c r="D32" i="7"/>
  <c r="F17" i="1"/>
  <c r="F12" i="1"/>
  <c r="F14" i="1"/>
  <c r="F13" i="1"/>
  <c r="E18" i="1"/>
  <c r="F11" i="1"/>
  <c r="F21" i="1"/>
  <c r="E25" i="1"/>
  <c r="F24" i="1"/>
  <c r="F15" i="1"/>
  <c r="F16" i="1"/>
  <c r="E22" i="1"/>
  <c r="F20" i="1"/>
  <c r="X6" i="11"/>
  <c r="Y5" i="11"/>
  <c r="B6" i="9"/>
  <c r="O19" i="9"/>
  <c r="B19" i="9" s="1"/>
  <c r="P19" i="9"/>
  <c r="Q5" i="9"/>
  <c r="AS57" i="12" l="1"/>
  <c r="AO58" i="12"/>
  <c r="AR30" i="12"/>
  <c r="D28" i="7"/>
  <c r="D24" i="7"/>
  <c r="AQ27" i="7"/>
  <c r="F22" i="1"/>
  <c r="F25" i="1"/>
  <c r="F18" i="1"/>
  <c r="Z5" i="11"/>
  <c r="Z6" i="11" s="1"/>
  <c r="Y6" i="11"/>
  <c r="R5" i="9"/>
  <c r="Q6" i="9"/>
  <c r="Q19" i="9" s="1"/>
  <c r="AP57" i="12" l="1"/>
  <c r="AO30" i="12"/>
  <c r="AS29" i="12"/>
  <c r="AS47" i="12"/>
  <c r="AS42" i="12"/>
  <c r="AS14" i="12" s="1"/>
  <c r="AS46" i="12"/>
  <c r="AS18" i="12" s="1"/>
  <c r="AS53" i="12"/>
  <c r="AS25" i="12" s="1"/>
  <c r="AS43" i="12"/>
  <c r="AS15" i="12" s="1"/>
  <c r="AS44" i="12"/>
  <c r="AS16" i="12" s="1"/>
  <c r="AS45" i="12"/>
  <c r="AS17" i="12" s="1"/>
  <c r="AS54" i="12"/>
  <c r="AS26" i="12" s="1"/>
  <c r="AS41" i="12"/>
  <c r="AS13" i="12" s="1"/>
  <c r="O14" i="13"/>
  <c r="F28" i="1"/>
  <c r="AA5" i="11"/>
  <c r="AB5" i="11" s="1"/>
  <c r="AC5" i="11" s="1"/>
  <c r="AD5" i="11" s="1"/>
  <c r="AE5" i="11" s="1"/>
  <c r="R6" i="9"/>
  <c r="R19" i="9" s="1"/>
  <c r="S5" i="9"/>
  <c r="S6" i="9" s="1"/>
  <c r="AS19" i="12" l="1"/>
  <c r="AS55" i="12"/>
  <c r="AS27" i="12" s="1"/>
  <c r="D40" i="13"/>
  <c r="O48" i="13"/>
  <c r="O49" i="13" s="1"/>
  <c r="O50" i="13" s="1"/>
  <c r="AP29" i="12"/>
  <c r="AP53" i="12"/>
  <c r="AP25" i="12" s="1"/>
  <c r="AP41" i="12"/>
  <c r="AP13" i="12" s="1"/>
  <c r="AP43" i="12"/>
  <c r="AP15" i="12" s="1"/>
  <c r="AP45" i="12"/>
  <c r="AP17" i="12" s="1"/>
  <c r="AP46" i="12"/>
  <c r="AP18" i="12" s="1"/>
  <c r="AP44" i="12"/>
  <c r="AP16" i="12" s="1"/>
  <c r="AP42" i="12"/>
  <c r="AP14" i="12" s="1"/>
  <c r="AP54" i="12"/>
  <c r="AP26" i="12" s="1"/>
  <c r="O13" i="13"/>
  <c r="F31" i="7"/>
  <c r="H31" i="7" s="1"/>
  <c r="S19" i="9"/>
  <c r="T5" i="9"/>
  <c r="T6" i="9" s="1"/>
  <c r="D39" i="13" l="1"/>
  <c r="N48" i="13"/>
  <c r="N49" i="13" s="1"/>
  <c r="N50" i="13" s="1"/>
  <c r="O4" i="13"/>
  <c r="J31" i="7"/>
  <c r="L31" i="7" s="1"/>
  <c r="V31" i="7"/>
  <c r="X31" i="7" s="1"/>
  <c r="F34" i="6"/>
  <c r="F42" i="6" s="1"/>
  <c r="F57" i="6" s="1"/>
  <c r="U5" i="9"/>
  <c r="T19" i="9"/>
  <c r="U6" i="9" l="1"/>
  <c r="U19" i="9" s="1"/>
  <c r="V5" i="9"/>
  <c r="N27" i="7" l="1"/>
  <c r="P27" i="7" s="1"/>
  <c r="N20" i="7"/>
  <c r="P20" i="7" s="1"/>
  <c r="N21" i="7"/>
  <c r="P21" i="7" s="1"/>
  <c r="N22" i="7"/>
  <c r="P22" i="7" s="1"/>
  <c r="N24" i="7"/>
  <c r="P24" i="7" s="1"/>
  <c r="N16" i="7"/>
  <c r="P16" i="7" s="1"/>
  <c r="N19" i="7"/>
  <c r="P19" i="7" s="1"/>
  <c r="N18" i="7"/>
  <c r="P18" i="7" s="1"/>
  <c r="N26" i="7"/>
  <c r="P26" i="7" s="1"/>
  <c r="N17" i="7"/>
  <c r="P17" i="7" s="1"/>
  <c r="N25" i="7"/>
  <c r="P25" i="7" s="1"/>
  <c r="N28" i="7"/>
  <c r="P28" i="7" s="1"/>
  <c r="N23" i="7"/>
  <c r="P23" i="7" s="1"/>
  <c r="N31" i="7" l="1"/>
  <c r="R31" i="7"/>
  <c r="T31" i="7" s="1"/>
  <c r="P31" i="7" l="1"/>
  <c r="N37" i="7"/>
  <c r="R24" i="7"/>
  <c r="T24" i="7" s="1"/>
  <c r="Z31" i="7"/>
  <c r="R18" i="7"/>
  <c r="T18" i="7" s="1"/>
  <c r="R19" i="7"/>
  <c r="T19" i="7" s="1"/>
  <c r="R17" i="7"/>
  <c r="T17" i="7" s="1"/>
  <c r="R22" i="7"/>
  <c r="T22" i="7" s="1"/>
  <c r="R20" i="7"/>
  <c r="T20" i="7" s="1"/>
  <c r="R23" i="7"/>
  <c r="T23" i="7" s="1"/>
  <c r="R21" i="7"/>
  <c r="T21" i="7" s="1"/>
  <c r="R16" i="7"/>
  <c r="T16" i="7" s="1"/>
  <c r="R30" i="7"/>
  <c r="T30" i="7" s="1"/>
  <c r="R29" i="7"/>
  <c r="T29" i="7" s="1"/>
  <c r="R28" i="7"/>
  <c r="T28" i="7" s="1"/>
  <c r="R27" i="7"/>
  <c r="T27" i="7" s="1"/>
  <c r="R26" i="7"/>
  <c r="T26" i="7" s="1"/>
  <c r="R25" i="7"/>
  <c r="T25" i="7" s="1"/>
  <c r="Z35" i="7"/>
  <c r="AD31" i="7" l="1"/>
  <c r="Z38" i="7"/>
  <c r="Z20" i="7"/>
  <c r="AN22" i="7"/>
  <c r="AO31" i="7"/>
  <c r="AN21" i="7"/>
  <c r="AN25" i="7"/>
  <c r="AN26" i="7"/>
  <c r="AN29" i="7"/>
  <c r="AN19" i="7"/>
  <c r="AN20" i="7"/>
  <c r="AN18" i="7"/>
  <c r="AN17" i="7"/>
  <c r="Z19" i="7"/>
  <c r="Z23" i="7"/>
  <c r="Z16" i="7"/>
  <c r="Z27" i="7"/>
  <c r="Z18" i="7"/>
  <c r="Z21" i="7"/>
  <c r="Z30" i="7"/>
  <c r="Z17" i="7"/>
  <c r="Z26" i="7"/>
  <c r="Z29" i="7"/>
  <c r="Z28" i="7"/>
  <c r="Z22" i="7"/>
  <c r="Z25" i="7"/>
  <c r="Z24" i="7"/>
  <c r="AA31" i="7"/>
  <c r="AA25" i="7" s="1"/>
  <c r="AS25" i="7" s="1"/>
  <c r="AD30" i="7" l="1"/>
  <c r="AD24" i="7"/>
  <c r="AD29" i="7"/>
  <c r="AD21" i="7"/>
  <c r="AD23" i="7"/>
  <c r="AD20" i="7"/>
  <c r="AB25" i="7"/>
  <c r="AF25" i="7" s="1"/>
  <c r="AD26" i="7"/>
  <c r="D26" i="7" s="1"/>
  <c r="AD18" i="7"/>
  <c r="AD19" i="7"/>
  <c r="AD22" i="7"/>
  <c r="AD17" i="7"/>
  <c r="AD27" i="7"/>
  <c r="AB31" i="7"/>
  <c r="AF31" i="7" s="1"/>
  <c r="AD28" i="7"/>
  <c r="AD16" i="7"/>
  <c r="AN27" i="7"/>
  <c r="AN30" i="7"/>
  <c r="D29" i="7"/>
  <c r="AO29" i="7"/>
  <c r="AO26" i="7"/>
  <c r="AO19" i="7"/>
  <c r="AO18" i="7"/>
  <c r="AO17" i="7"/>
  <c r="AO21" i="7"/>
  <c r="AO25" i="7"/>
  <c r="AO20" i="7"/>
  <c r="AO22" i="7"/>
  <c r="AO24" i="7"/>
  <c r="AO28" i="7"/>
  <c r="AR28" i="7"/>
  <c r="AA18" i="7"/>
  <c r="AS18" i="7" s="1"/>
  <c r="AE25" i="7"/>
  <c r="AA26" i="7"/>
  <c r="AS26" i="7" s="1"/>
  <c r="AD25" i="7"/>
  <c r="AI24" i="7"/>
  <c r="AA21" i="7"/>
  <c r="AS21" i="7" s="1"/>
  <c r="AA29" i="7"/>
  <c r="AS29" i="7" s="1"/>
  <c r="AE31" i="7"/>
  <c r="AQ35" i="7" s="1"/>
  <c r="AA19" i="7"/>
  <c r="AS19" i="7" s="1"/>
  <c r="AA22" i="7"/>
  <c r="AS22" i="7" s="1"/>
  <c r="AA30" i="7"/>
  <c r="AS30" i="7" s="1"/>
  <c r="AL28" i="7"/>
  <c r="AA23" i="7"/>
  <c r="AS23" i="7" s="1"/>
  <c r="AA27" i="7"/>
  <c r="AB27" i="7" s="1"/>
  <c r="AF27" i="7" s="1"/>
  <c r="AA20" i="7"/>
  <c r="AS20" i="7" s="1"/>
  <c r="AI28" i="7"/>
  <c r="AA24" i="7"/>
  <c r="AS24" i="7" s="1"/>
  <c r="AA28" i="7"/>
  <c r="AS28" i="7" s="1"/>
  <c r="BE28" i="7" s="1"/>
  <c r="AA16" i="7"/>
  <c r="AB16" i="7" s="1"/>
  <c r="AF16" i="7" s="1"/>
  <c r="AA17" i="7"/>
  <c r="AS17" i="7" s="1"/>
  <c r="AL24" i="7"/>
  <c r="AL27" i="7" s="1"/>
  <c r="AQ36" i="7" l="1"/>
  <c r="AJ38" i="7"/>
  <c r="AB28" i="7"/>
  <c r="AF28" i="7" s="1"/>
  <c r="AB20" i="7"/>
  <c r="AF20" i="7" s="1"/>
  <c r="AB21" i="7"/>
  <c r="AF21" i="7" s="1"/>
  <c r="AB24" i="7"/>
  <c r="AF24" i="7" s="1"/>
  <c r="D30" i="7"/>
  <c r="AB17" i="7"/>
  <c r="AF17" i="7" s="1"/>
  <c r="AB19" i="7"/>
  <c r="AF19" i="7" s="1"/>
  <c r="AB26" i="7"/>
  <c r="AF26" i="7" s="1"/>
  <c r="D27" i="7"/>
  <c r="AB23" i="7"/>
  <c r="AF23" i="7" s="1"/>
  <c r="AB29" i="7"/>
  <c r="AF29" i="7" s="1"/>
  <c r="AB30" i="7"/>
  <c r="AF30" i="7" s="1"/>
  <c r="AB22" i="7"/>
  <c r="AF22" i="7" s="1"/>
  <c r="AB18" i="7"/>
  <c r="AF18" i="7" s="1"/>
  <c r="AO30" i="7"/>
  <c r="BM28" i="7"/>
  <c r="D25" i="7"/>
  <c r="F72" i="4" s="1"/>
  <c r="AI27" i="7"/>
  <c r="AS16" i="7"/>
  <c r="AE38" i="7"/>
  <c r="AO27" i="7"/>
  <c r="AS27" i="7"/>
  <c r="AS31" i="7" s="1"/>
  <c r="AE27" i="7"/>
  <c r="AE18" i="7"/>
  <c r="AE24" i="7"/>
  <c r="AE20" i="7"/>
  <c r="AE19" i="7"/>
  <c r="AE17" i="7"/>
  <c r="AE30" i="7"/>
  <c r="AE23" i="7"/>
  <c r="AE16" i="7"/>
  <c r="AE22" i="7"/>
  <c r="AE29" i="7"/>
  <c r="AE28" i="7"/>
  <c r="BP28" i="7" s="1"/>
  <c r="AE21" i="7"/>
  <c r="AE26" i="7"/>
  <c r="F45" i="7" l="1"/>
  <c r="BO16" i="7"/>
  <c r="AS33" i="7"/>
  <c r="BC21" i="7"/>
  <c r="BB25" i="7"/>
  <c r="BD24" i="7"/>
  <c r="BC20" i="7"/>
  <c r="BB16" i="7"/>
  <c r="BC19" i="7"/>
  <c r="BC17" i="7"/>
  <c r="BD22" i="7"/>
  <c r="BB29" i="7"/>
  <c r="BB30" i="7" s="1"/>
  <c r="BD26" i="7"/>
  <c r="BD18" i="7"/>
  <c r="BC24" i="7"/>
  <c r="BA17" i="7"/>
  <c r="BB26" i="7"/>
  <c r="BA21" i="7"/>
  <c r="BA24" i="7"/>
  <c r="BA20" i="7"/>
  <c r="BA25" i="7"/>
  <c r="BC16" i="7"/>
  <c r="BD19" i="7"/>
  <c r="BB17" i="7"/>
  <c r="BA22" i="7"/>
  <c r="BC29" i="7"/>
  <c r="BC30" i="7" s="1"/>
  <c r="BA26" i="7"/>
  <c r="BA18" i="7"/>
  <c r="BD21" i="7"/>
  <c r="BC25" i="7"/>
  <c r="BB20" i="7"/>
  <c r="BA19" i="7"/>
  <c r="BB22" i="7"/>
  <c r="BB18" i="7"/>
  <c r="BB21" i="7"/>
  <c r="BB24" i="7"/>
  <c r="BD20" i="7"/>
  <c r="BA16" i="7"/>
  <c r="BB19" i="7"/>
  <c r="BD17" i="7"/>
  <c r="BC22" i="7"/>
  <c r="BD29" i="7"/>
  <c r="BD30" i="7" s="1"/>
  <c r="BC26" i="7"/>
  <c r="BC18" i="7"/>
  <c r="BD25" i="7"/>
  <c r="BD27" i="7" s="1"/>
  <c r="BD16" i="7"/>
  <c r="BA29" i="7"/>
  <c r="BA30" i="7" s="1"/>
  <c r="BE30" i="7" l="1"/>
  <c r="BE19" i="7"/>
  <c r="BE20" i="7"/>
  <c r="BA27" i="7"/>
  <c r="BE22" i="7"/>
  <c r="BE26" i="7"/>
  <c r="BB27" i="7"/>
  <c r="BD23" i="7"/>
  <c r="BD31" i="7" s="1"/>
  <c r="BA23" i="7"/>
  <c r="BE18" i="7"/>
  <c r="BE25" i="7"/>
  <c r="BC23" i="7"/>
  <c r="BE21" i="7"/>
  <c r="BE24" i="7"/>
  <c r="G45" i="7"/>
  <c r="BB23" i="7"/>
  <c r="BC27" i="7"/>
  <c r="BE17" i="7"/>
  <c r="BE16" i="7"/>
  <c r="BE29" i="7"/>
  <c r="AQ16" i="7" l="1"/>
  <c r="AI16" i="7"/>
  <c r="AI23" i="7" s="1"/>
  <c r="AQ23" i="7"/>
  <c r="BC31" i="7"/>
  <c r="BA31" i="7"/>
  <c r="BB31" i="7"/>
  <c r="BE27" i="7"/>
  <c r="BE23" i="7"/>
  <c r="G60" i="7"/>
  <c r="AH16" i="7"/>
  <c r="AK16" i="7"/>
  <c r="AK23" i="7" s="1"/>
  <c r="AL16" i="7"/>
  <c r="AL23" i="7" s="1"/>
  <c r="AN16" i="7"/>
  <c r="AN23" i="7" s="1"/>
  <c r="AO16" i="7"/>
  <c r="D20" i="7"/>
  <c r="D17" i="7"/>
  <c r="D18" i="7"/>
  <c r="D19" i="7"/>
  <c r="D22" i="7"/>
  <c r="AR31" i="7"/>
  <c r="D21" i="7"/>
  <c r="E93" i="5"/>
  <c r="AR29" i="7" l="1"/>
  <c r="AR25" i="7"/>
  <c r="AR16" i="7"/>
  <c r="AR19" i="7"/>
  <c r="AR21" i="7"/>
  <c r="AR17" i="7"/>
  <c r="AR26" i="7"/>
  <c r="AR24" i="7"/>
  <c r="AR18" i="7"/>
  <c r="AR20" i="7"/>
  <c r="AR22" i="7"/>
  <c r="BE31" i="7"/>
  <c r="D16" i="7"/>
  <c r="AO23" i="7"/>
  <c r="BM31" i="7"/>
  <c r="BN31" i="7"/>
  <c r="BO31" i="7" s="1"/>
  <c r="AH23" i="7"/>
  <c r="F127" i="5"/>
  <c r="AR23" i="7" l="1"/>
  <c r="BM23" i="7" s="1"/>
  <c r="BM16" i="7"/>
  <c r="BM20" i="7"/>
  <c r="BP20" i="7"/>
  <c r="BM17" i="7"/>
  <c r="BP17" i="7"/>
  <c r="BM25" i="7"/>
  <c r="BP25" i="7"/>
  <c r="BM26" i="7"/>
  <c r="BP26" i="7"/>
  <c r="BM18" i="7"/>
  <c r="BP18" i="7"/>
  <c r="BM21" i="7"/>
  <c r="BP21" i="7"/>
  <c r="AR30" i="7"/>
  <c r="BM30" i="7" s="1"/>
  <c r="BM29" i="7"/>
  <c r="BP29" i="7"/>
  <c r="BM22" i="7"/>
  <c r="BP22" i="7"/>
  <c r="BM24" i="7"/>
  <c r="AR27" i="7"/>
  <c r="BP24" i="7"/>
  <c r="BM19" i="7"/>
  <c r="BP19" i="7"/>
  <c r="BP16" i="7"/>
  <c r="BN35" i="7"/>
  <c r="D23" i="7"/>
  <c r="BP23" i="7" l="1"/>
  <c r="G72" i="4"/>
  <c r="BM27" i="7"/>
  <c r="BM34" i="7" s="1"/>
  <c r="BP27" i="7"/>
  <c r="AC47" i="12"/>
  <c r="AC19" i="12" s="1"/>
  <c r="AE47" i="12"/>
  <c r="AE19" i="12" s="1"/>
  <c r="AE40" i="12"/>
  <c r="AE12" i="12" s="1"/>
  <c r="AE45" i="12"/>
  <c r="AE17" i="12" s="1"/>
  <c r="AE46" i="12"/>
  <c r="AE18" i="12" s="1"/>
  <c r="AE41" i="12"/>
  <c r="AE13" i="12" s="1"/>
  <c r="AE44" i="12"/>
  <c r="AE16" i="12" s="1"/>
  <c r="AE42" i="12"/>
  <c r="AE14" i="12" s="1"/>
  <c r="AE54" i="12"/>
  <c r="AE26" i="12" s="1"/>
  <c r="AE53" i="12"/>
  <c r="AE25" i="12" s="1"/>
  <c r="S55" i="12"/>
  <c r="S27" i="12" s="1"/>
  <c r="AE55" i="12" l="1"/>
  <c r="AE27" i="12" s="1"/>
  <c r="T55" i="12"/>
  <c r="U55" i="12" l="1"/>
  <c r="U27" i="12" s="1"/>
  <c r="T27" i="12"/>
  <c r="AC40" i="12"/>
  <c r="AC12" i="12" s="1"/>
  <c r="G65" i="12" l="1"/>
  <c r="AR40" i="12" s="1"/>
  <c r="AR12" i="12" s="1"/>
  <c r="AL40" i="12" l="1"/>
  <c r="AO40" i="12"/>
  <c r="AI40" i="12"/>
  <c r="AI12" i="12" s="1"/>
  <c r="AJ40" i="12"/>
  <c r="AR47" i="12"/>
  <c r="AM40" i="12"/>
  <c r="AS40" i="12"/>
  <c r="AS12" i="12" s="1"/>
  <c r="AP40" i="12"/>
  <c r="G80" i="12"/>
  <c r="AP47" i="12" l="1"/>
  <c r="AP12" i="12"/>
  <c r="AJ47" i="12"/>
  <c r="AJ12" i="12"/>
  <c r="AM47" i="12"/>
  <c r="AM12" i="12"/>
  <c r="AO47" i="12"/>
  <c r="AO12" i="12"/>
  <c r="AR55" i="12"/>
  <c r="AR27" i="12" s="1"/>
  <c r="AR19" i="12"/>
  <c r="AL47" i="12"/>
  <c r="AL12" i="12"/>
  <c r="D40" i="12"/>
  <c r="AI47" i="12"/>
  <c r="AI19" i="12" s="1"/>
  <c r="AF54" i="12"/>
  <c r="AF26" i="12" s="1"/>
  <c r="BE26" i="12" s="1"/>
  <c r="AC45" i="12"/>
  <c r="AC54" i="12"/>
  <c r="AC42" i="12"/>
  <c r="AF44" i="12"/>
  <c r="AC44" i="12"/>
  <c r="AC46" i="12"/>
  <c r="AF42" i="12"/>
  <c r="AC43" i="12"/>
  <c r="AF46" i="12"/>
  <c r="AF53" i="12"/>
  <c r="AF45" i="12"/>
  <c r="AF41" i="12"/>
  <c r="AC53" i="12"/>
  <c r="AC41" i="12"/>
  <c r="AF43" i="12"/>
  <c r="AB55" i="12"/>
  <c r="AB27" i="12" s="1"/>
  <c r="D12" i="12" l="1"/>
  <c r="F61" i="4"/>
  <c r="AG53" i="12"/>
  <c r="AG25" i="12" s="1"/>
  <c r="AC25" i="12"/>
  <c r="AG44" i="12"/>
  <c r="AG16" i="12" s="1"/>
  <c r="AC16" i="12"/>
  <c r="AG45" i="12"/>
  <c r="AG17" i="12" s="1"/>
  <c r="AC17" i="12"/>
  <c r="E41" i="12"/>
  <c r="AF13" i="12"/>
  <c r="BE13" i="12" s="1"/>
  <c r="AG43" i="12"/>
  <c r="AG15" i="12" s="1"/>
  <c r="AC15" i="12"/>
  <c r="E44" i="12"/>
  <c r="AF16" i="12"/>
  <c r="BE16" i="12" s="1"/>
  <c r="AL55" i="12"/>
  <c r="AL27" i="12" s="1"/>
  <c r="AL19" i="12"/>
  <c r="AO55" i="12"/>
  <c r="AO27" i="12" s="1"/>
  <c r="AO19" i="12"/>
  <c r="AJ55" i="12"/>
  <c r="AJ27" i="12" s="1"/>
  <c r="AJ19" i="12"/>
  <c r="E46" i="12"/>
  <c r="AF18" i="12"/>
  <c r="BE18" i="12" s="1"/>
  <c r="E43" i="12"/>
  <c r="AF15" i="12"/>
  <c r="BE15" i="12" s="1"/>
  <c r="E45" i="12"/>
  <c r="AF17" i="12"/>
  <c r="BE17" i="12" s="1"/>
  <c r="E42" i="12"/>
  <c r="AF14" i="12"/>
  <c r="BE14" i="12" s="1"/>
  <c r="AG42" i="12"/>
  <c r="AG14" i="12" s="1"/>
  <c r="AC14" i="12"/>
  <c r="AG41" i="12"/>
  <c r="AG13" i="12" s="1"/>
  <c r="AC13" i="12"/>
  <c r="E53" i="12"/>
  <c r="AF25" i="12"/>
  <c r="BE25" i="12" s="1"/>
  <c r="AG46" i="12"/>
  <c r="AG18" i="12" s="1"/>
  <c r="AC18" i="12"/>
  <c r="AG54" i="12"/>
  <c r="AG26" i="12" s="1"/>
  <c r="AC26" i="12"/>
  <c r="AM55" i="12"/>
  <c r="AM27" i="12" s="1"/>
  <c r="AM19" i="12"/>
  <c r="AP55" i="12"/>
  <c r="AP27" i="12" s="1"/>
  <c r="AP19" i="12"/>
  <c r="BE54" i="12"/>
  <c r="E54" i="12"/>
  <c r="E26" i="12" s="1"/>
  <c r="AC55" i="12"/>
  <c r="AC27" i="12" s="1"/>
  <c r="E14" i="12" l="1"/>
  <c r="G63" i="4"/>
  <c r="E15" i="12"/>
  <c r="G64" i="4"/>
  <c r="E25" i="12"/>
  <c r="G87" i="4"/>
  <c r="G89" i="4" s="1"/>
  <c r="E17" i="12"/>
  <c r="G66" i="4"/>
  <c r="E18" i="12"/>
  <c r="G67" i="4"/>
  <c r="E16" i="12"/>
  <c r="G65" i="4"/>
  <c r="E13" i="12"/>
  <c r="G62" i="4"/>
  <c r="AF47" i="12"/>
  <c r="Q47" i="12"/>
  <c r="P55" i="12"/>
  <c r="P27" i="12" s="1"/>
  <c r="AG47" i="12" l="1"/>
  <c r="AG19" i="12" s="1"/>
  <c r="Q19" i="12"/>
  <c r="E47" i="12"/>
  <c r="E19" i="12" s="1"/>
  <c r="AF19" i="12"/>
  <c r="BE19" i="12" s="1"/>
  <c r="AF55" i="12"/>
  <c r="AF27" i="12" s="1"/>
  <c r="Q55" i="12"/>
  <c r="AG55" i="12" l="1"/>
  <c r="AG27" i="12" s="1"/>
  <c r="Q27" i="12"/>
  <c r="E55" i="12"/>
  <c r="AE58" i="12"/>
  <c r="AE30" i="12" s="1"/>
  <c r="E57" i="12" l="1"/>
  <c r="E27" i="12"/>
  <c r="BE51" i="12"/>
  <c r="BE48" i="12"/>
  <c r="BE50" i="12"/>
  <c r="AI55" i="12"/>
  <c r="BE49" i="12"/>
  <c r="D55" i="12" l="1"/>
  <c r="D27" i="12" s="1"/>
  <c r="AI27" i="12"/>
  <c r="BE27" i="12" s="1"/>
  <c r="D58" i="12"/>
  <c r="D30" i="12" s="1"/>
  <c r="E29" i="12"/>
  <c r="BE55" i="12"/>
  <c r="D46" i="12" l="1"/>
  <c r="D42" i="12"/>
  <c r="D45" i="12"/>
  <c r="D47" i="12"/>
  <c r="D19" i="12" s="1"/>
  <c r="D41" i="12"/>
  <c r="D43" i="12"/>
  <c r="BE52" i="12"/>
  <c r="D44" i="12"/>
  <c r="D53" i="12"/>
  <c r="D54" i="12"/>
  <c r="D26" i="12" s="1"/>
  <c r="D17" i="12" l="1"/>
  <c r="F66" i="4"/>
  <c r="D15" i="12"/>
  <c r="F64" i="4"/>
  <c r="D14" i="12"/>
  <c r="F63" i="4"/>
  <c r="D16" i="12"/>
  <c r="F65" i="4"/>
  <c r="D25" i="12"/>
  <c r="F87" i="4"/>
  <c r="F89" i="4" s="1"/>
  <c r="D13" i="12"/>
  <c r="F62" i="4"/>
  <c r="F68" i="4" s="1"/>
  <c r="F98" i="4" s="1"/>
  <c r="D18" i="12"/>
  <c r="F67" i="4"/>
  <c r="BE45" i="12"/>
  <c r="BE43" i="12"/>
  <c r="BE53" i="12"/>
  <c r="BE44" i="12"/>
  <c r="BE46" i="12"/>
  <c r="BE41" i="12"/>
  <c r="BE42" i="12"/>
  <c r="BE47" i="12"/>
  <c r="AF40" i="12" l="1"/>
  <c r="AF12" i="12" s="1"/>
  <c r="BE12" i="12" s="1"/>
  <c r="Q40" i="12"/>
  <c r="AG40" i="12" l="1"/>
  <c r="AG12" i="12" s="1"/>
  <c r="Q12" i="12"/>
  <c r="BE40" i="12"/>
  <c r="E40" i="12"/>
  <c r="E12" i="12" l="1"/>
  <c r="G61" i="4"/>
  <c r="G68" i="4" s="1"/>
  <c r="G98" i="4" s="1"/>
  <c r="S93" i="5"/>
  <c r="S127" i="5" s="1"/>
</calcChain>
</file>

<file path=xl/sharedStrings.xml><?xml version="1.0" encoding="utf-8"?>
<sst xmlns="http://schemas.openxmlformats.org/spreadsheetml/2006/main" count="2282" uniqueCount="549">
  <si>
    <t>№</t>
  </si>
  <si>
    <t>Інв. №</t>
  </si>
  <si>
    <t>Найменування</t>
  </si>
  <si>
    <t>Оціночна</t>
  </si>
  <si>
    <t>б/р</t>
  </si>
  <si>
    <t>Рік реконструкції</t>
  </si>
  <si>
    <t>п/п</t>
  </si>
  <si>
    <t>вартість, грн.</t>
  </si>
  <si>
    <t>МАГИСТРАЛЬНАЯ ТЕПЛОСЕТЬ ОТ ТОЧКИ1 ДО ТК-94</t>
  </si>
  <si>
    <t>-</t>
  </si>
  <si>
    <t>2019р., 2020р., 2021р.</t>
  </si>
  <si>
    <t>МАГИСТРАЛЬНАЯ ТЕПЛОСЕТЬ ОТ ТК-94 ДО ТК97</t>
  </si>
  <si>
    <t>00892.01</t>
  </si>
  <si>
    <t>МАГІСТРАЛЬНА ТЕПЛОМЕРЕЖА від ТК-97 до ТК101</t>
  </si>
  <si>
    <t>ПОДКЛЮЧЕНИЕ Ж/ДОМОВ: 2,4,12,10,18,6,22 ПО УЛ. МИРА</t>
  </si>
  <si>
    <t>ТЕПЛОСЕТИ 2ГО М/Р : ОТ ТК97 ДО ТК112 (У ТРП)</t>
  </si>
  <si>
    <t>ТЕПЛОСЕТИ 2ГО М/Р : ОТ ТК112 ДО ТК114</t>
  </si>
  <si>
    <t>2023р., 2025р.</t>
  </si>
  <si>
    <t>ПОДКЛЮЧЕНИЕ Ж/ДОМОВ 14,16, Д/С№5, СШ№1К ТЕПЛОСЕТИ</t>
  </si>
  <si>
    <t>07755.01</t>
  </si>
  <si>
    <t>ПОДКЛЮЧЕНИЕ Д/С №4 К ТЕПЛОСЕТИ</t>
  </si>
  <si>
    <t>МАГИСТРАЛЬНАЯ ТЕПЛОСЕТЬ ОТ ТОЧКИ1 ДО ТК3</t>
  </si>
  <si>
    <t>ТЕПЛОСЕТЬ ОТ ОТ ТК3 ДО ТК16, ОТ ТК9 ДО ТК20, ОТ ТК8 ДО ТК26, ТК39</t>
  </si>
  <si>
    <t>2024р.</t>
  </si>
  <si>
    <t>ТЕПЛОСТЬ16 КВ.;И ФИН.ДОМОВ 8,9КВ.</t>
  </si>
  <si>
    <t>2018р., 2019р., 2021р.</t>
  </si>
  <si>
    <t>ТЕПЛОСЕТЬ 10-ГО И 5-ГО КВ.</t>
  </si>
  <si>
    <t>ТЕПЛОСЕТЬ В 16-М КВАРТАЛЕ (ОТ ТК3 ДО ТОЧКИ30, ОТ ТК80 ДО ТК83)</t>
  </si>
  <si>
    <t>2020р.</t>
  </si>
  <si>
    <t>ПОДКЛЮЧЕНИЕ Ж/ДОМОВ 1,3,5 ПО УЛ. ЩОРСА И Д/С№6 К ТЕПЛОСЕТИ</t>
  </si>
  <si>
    <t>2020р., 2021р.</t>
  </si>
  <si>
    <t>ТЕПЛОСЕТЬ 1-ГО И 5-ГО КВ.</t>
  </si>
  <si>
    <t>ПОДКЛЮЧЕНИЕ К ТЕПЛОСЕТИ 13 КВ. И Д.3 ПО УЛ.ЮЖНОЙ</t>
  </si>
  <si>
    <t>2018р., 2020р., 2021р.</t>
  </si>
  <si>
    <t>ТЕПЛОСЕТЬ ПО ПЕР.ШКОЛЬНОМУ</t>
  </si>
  <si>
    <t>ТЕПЛОСЕТЬ НА ПЛ. ДЗЕРЖИНСКОГО (ТК42 - ТОЧКА 132)</t>
  </si>
  <si>
    <t>ТЕПЛОСЕТЬ 7-ГО КВ. И ПЕР. МОЛОДЕЖНОГО</t>
  </si>
  <si>
    <t>ТЕПЛОСЕТЬ ОТ ТК7 ДО ТК55 ПО УЛ.ПАРХОМЕНКО</t>
  </si>
  <si>
    <t>2019р.</t>
  </si>
  <si>
    <t>ТЕПЛОСЕТЬ ВДОЛЬ ФИНСКИХ ДОМОВ ПО ЩОРСА (ТОЧКА15 - ТОЧКА80)</t>
  </si>
  <si>
    <t>ПОДКЛЮЧЕНИЕ ФИНСКИХ Ж/ДОМОВ 9 КВ. К ТЕПЛОСЕТИ</t>
  </si>
  <si>
    <t>2018р.</t>
  </si>
  <si>
    <t>ПОДКЛЮЧЕНИЕ Ж/ДОМОВ 1-ГО,2,4,6 КВАРТАЛОВ К ТЕПЛОСЕТИ</t>
  </si>
  <si>
    <t>07746.05</t>
  </si>
  <si>
    <t>ТЕПЛОСЕТЬ К ГОСТИНИЦЕ</t>
  </si>
  <si>
    <t>07746.04</t>
  </si>
  <si>
    <t>ТЕПЛОСЕТЬ К АВТОВОКЗАЛУ</t>
  </si>
  <si>
    <t>07739.02</t>
  </si>
  <si>
    <t>ПОДКЛЮЧЕНИЕ ДК К ТЕПЛОСЕТИ</t>
  </si>
  <si>
    <t>ТЕПЛОСЕТЬ К КОМНАТЕ ШКОЛЬНИКА "ЛУЧ"И СКЭ</t>
  </si>
  <si>
    <t>ТЕПЛОСЕТЬ ПО УЛ. МАЯКОВСКОГО, АВАРИЙНОГО ПОС.</t>
  </si>
  <si>
    <t>ТЕПЛОСЕТЬ ВДОЛЬ СПОРТКОМПЛЕКСА (ТОЧКА120 - СПОРТКОМ.)</t>
  </si>
  <si>
    <t>ТЕПЛОСЕТЬ К ПТУ И ВКВ.13 (ТК39-Т.130)</t>
  </si>
  <si>
    <t>ТЕПЛОСЕТЬ ОТ ТК26 ДО ТК40 В КВ.4</t>
  </si>
  <si>
    <t>ТЕПЛОСЕТЬ ОТ ТОЧКИ 35 ДО ТОЧКИ 43А В 5 КВ</t>
  </si>
  <si>
    <t>07750.01</t>
  </si>
  <si>
    <t>ПОДКЛЮЧЕНИЕ Д/С № 3 К ТЕПЛОСЕТИ</t>
  </si>
  <si>
    <t>07739.01</t>
  </si>
  <si>
    <t>ПОДКЛЮЧЕНИЕ Д/С № 7 К ТЕПЛОСЕТИ</t>
  </si>
  <si>
    <t>07750.02</t>
  </si>
  <si>
    <t>ПОДКЛЮЧЕНИЕ ДОМА ПИОНЕРОВ К ТЕПЛОСЕТИ</t>
  </si>
  <si>
    <t>Тепловая сеть по ул.Геологов</t>
  </si>
  <si>
    <t>Тепловая сеть по ул.Интернационалистов</t>
  </si>
  <si>
    <t>Тепловая сеть по ул.Пархоменко вдоль домов 17-33,38-50</t>
  </si>
  <si>
    <t>Тепловая сеть по ул.Победы</t>
  </si>
  <si>
    <t>ТЕПЛОСЕТЬ ОТ ТОЧКИ 7 ДО ТК67 В КВ. 10</t>
  </si>
  <si>
    <t>ПОДКЛЮЧЕНИЕ Ж/ДОМОВ И ОБЪЕКТОВ 10 КВ. К ТЕПЛОСЕТИ</t>
  </si>
  <si>
    <t>ТЕПЛОСЕТЬ ОТ ТК73 ДО ТК74 В 10 КВАРТАЛЕ</t>
  </si>
  <si>
    <t>МАГИСТРАЛЬНАЯ ТЕПЛОСЕТЬ НА АВАРИЙНЫЙ ПОС. ДО ТК122</t>
  </si>
  <si>
    <t>2020р., 2024р.</t>
  </si>
  <si>
    <t>Тепловая сеть по ул.Коцюбинского</t>
  </si>
  <si>
    <t>2023р.</t>
  </si>
  <si>
    <t>Тепловая сеть по пер.Строителей</t>
  </si>
  <si>
    <t>Тепловая сеть по ул.Строителей</t>
  </si>
  <si>
    <t>Тепловая сеть по пер.Механизаторов</t>
  </si>
  <si>
    <t>2021р., 2023р.</t>
  </si>
  <si>
    <t>Тепловая сеть по ул.Кошубы к домам №10,12,18,20,22,24</t>
  </si>
  <si>
    <t>Тепловая сеть по ул.Молчанова</t>
  </si>
  <si>
    <t>Тепловая сеть по ул.Украинской</t>
  </si>
  <si>
    <t>Тепловая сеть по пер.Полевому</t>
  </si>
  <si>
    <t>Тепловая сеть по ул.Чкалова</t>
  </si>
  <si>
    <t>Тепловая сеть по тупик Чкалова</t>
  </si>
  <si>
    <t>ПОДКЛЮЧЕНИЕ К ТЕПЛОСЕТИ ФИН.ДОМОВ ПО УЛ. МИЧУРИНА</t>
  </si>
  <si>
    <t>2021р.</t>
  </si>
  <si>
    <t>Тепловая сеть по ул.Кошубы к дому №4</t>
  </si>
  <si>
    <t>Тепловая сеть по ул.Свердлова</t>
  </si>
  <si>
    <t>ТЕПЛОСЕТЬ НА ОЧИСТНЫЕ СООРУЖЕНИЯ</t>
  </si>
  <si>
    <t>ТЕПЛОСЕТЬ ОЧИСТНЫХ СООРУЖЕНИЙ И ФС,1,2</t>
  </si>
  <si>
    <t>БОЙЛЕРНАЯ УСТАНОВКА ГОРЯЧЕГО ВОДОСНАБЖЕНИЯ 15-16 КВ.</t>
  </si>
  <si>
    <t>07746.01</t>
  </si>
  <si>
    <t>ОСНОВНЫЕ СЕТИ ГВС 15,16 КВ. И ПОДКЛЮЧЕНИЕ К СЕТЯМ ГВС</t>
  </si>
  <si>
    <t>2022р.</t>
  </si>
  <si>
    <t>07952.01</t>
  </si>
  <si>
    <t>ОСНОВНЫЕ СЕТИ ГОРЯЧЕГО ВОДОСНАБЖЕНИЯ 2-ГО МИКРОРАЙ.</t>
  </si>
  <si>
    <t xml:space="preserve">Пластинчатий водопідігрівач у Центральному ТРП </t>
  </si>
  <si>
    <t>Пластинчатий водопідігрівач в бойлерній 15-16 кварталів</t>
  </si>
  <si>
    <t>РАЗОМ:</t>
  </si>
  <si>
    <t>Разом</t>
  </si>
  <si>
    <t>Амортизация по ставці 10%</t>
  </si>
  <si>
    <t>Амортизация по ставці 20%</t>
  </si>
  <si>
    <t>Амортизація всього</t>
  </si>
  <si>
    <r>
      <t xml:space="preserve">Додаток  2.5 </t>
    </r>
    <r>
      <rPr>
        <sz val="12"/>
        <rFont val="Times New Roman"/>
        <family val="1"/>
        <charset val="204"/>
      </rPr>
      <t>Додатку 2</t>
    </r>
    <r>
      <rPr>
        <b/>
        <sz val="12"/>
        <rFont val="Times New Roman"/>
        <family val="1"/>
        <charset val="204"/>
      </rPr>
      <t xml:space="preserve"> </t>
    </r>
  </si>
  <si>
    <t>Інвестиційної програми до концесійного договору</t>
  </si>
  <si>
    <t>№_____ від "____"____________ 2020р.</t>
  </si>
  <si>
    <t xml:space="preserve">ФІНАНСОВИЙ ПЛАН </t>
  </si>
  <si>
    <t xml:space="preserve">використання коштів для  виконання  інвестиційної програми "Реконструкція та модернізація системи теплозабезпечення м. Миколаївка" </t>
  </si>
  <si>
    <t>структурної одиниці «Слов‘янська теплова електрична станція» ПАТ «Донбасенерго»</t>
  </si>
  <si>
    <t xml:space="preserve">(найменування ліцензіата)  </t>
  </si>
  <si>
    <t>№ з/п</t>
  </si>
  <si>
    <t>Найменування заходів (пооб'єктно)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</si>
  <si>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</si>
  <si>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тис. грн. (без ПДВ)</t>
  </si>
  <si>
    <r>
      <t xml:space="preserve"> Сума позичкових коштів та відсотків за їх  використання, що підлягає поверненню 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планованому періоді,           тис. грн.           (без ПДВ)</t>
    </r>
  </si>
  <si>
    <t xml:space="preserve"> Сума інших залучених коштів, що підлягає поверненню у планованому періоді,           тис. грн.          (без ПДВ)</t>
  </si>
  <si>
    <t>Кошти, що враховуються у структурі тарифів гр.5+гр.6. + гр.11+гр.12,       тис. грн.                  (без ПДВ)</t>
  </si>
  <si>
    <t>Графік здійснення заходів та використання коштів на планований період, тис. грн. (без ПДВ)</t>
  </si>
  <si>
    <t xml:space="preserve">загальна сума </t>
  </si>
  <si>
    <t>з урахуванням:</t>
  </si>
  <si>
    <t>амортиза-ційні відраху-вання</t>
  </si>
  <si>
    <t>виробничі інвестиції з прибутку</t>
  </si>
  <si>
    <r>
      <t>отримані у планова-ному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позичкові кошти фінансових установ, що підлягають повер-ненню</t>
    </r>
  </si>
  <si>
    <r>
      <t>отримані у планова-ному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 бюджетні кошти, що не підлягають поверненню</t>
    </r>
  </si>
  <si>
    <t>інші залучені кошти, отримані у планованому періоді, з них:</t>
  </si>
  <si>
    <t>що підлягають поверненню</t>
  </si>
  <si>
    <t xml:space="preserve">що не підлягають поверненню </t>
  </si>
  <si>
    <t>Транспортування теплової енергії</t>
  </si>
  <si>
    <r>
      <t xml:space="preserve"> Будівництво, поліпшення (реконструкція) та капітальний ремонт об</t>
    </r>
    <r>
      <rPr>
        <b/>
        <sz val="12"/>
        <rFont val="Calibri"/>
        <family val="2"/>
        <charset val="204"/>
      </rPr>
      <t>’</t>
    </r>
    <r>
      <rPr>
        <b/>
        <sz val="12"/>
        <rFont val="Times New Roman"/>
        <family val="1"/>
        <charset val="204"/>
      </rPr>
      <t>єктів теплопостачання</t>
    </r>
  </si>
  <si>
    <t>1.</t>
  </si>
  <si>
    <t>Заходи зі зниження питомих витрат, а також втрат ресурсів, з них:</t>
  </si>
  <si>
    <t>1.1</t>
  </si>
  <si>
    <t>Поліпшення (реконструкція) та капітальний ремонт теплових мереж шляхом заміни</t>
  </si>
  <si>
    <t>1.2</t>
  </si>
  <si>
    <t>Відновлення ізоляції тепломережі</t>
  </si>
  <si>
    <t>1.3</t>
  </si>
  <si>
    <t>Прокладання трубопроводів гарячого водопостачання</t>
  </si>
  <si>
    <t>1.4</t>
  </si>
  <si>
    <t>Підключення ситеми опалення споживачів 15-16 кварталу через вузол змішування</t>
  </si>
  <si>
    <t>1.5</t>
  </si>
  <si>
    <t>Підключення ситеми опалення споживачів 2-го мікрорайону  через вузол змішування</t>
  </si>
  <si>
    <t>1.6</t>
  </si>
  <si>
    <t>Відновлення теплопостачання споживачів аварійного селища через вузол змішування</t>
  </si>
  <si>
    <t>1.7</t>
  </si>
  <si>
    <t>Встановлення балансувальних клапанів на квартальних відгалуженнях</t>
  </si>
  <si>
    <t>Усього за підпунктом 1</t>
  </si>
  <si>
    <t>2.</t>
  </si>
  <si>
    <t>Заходи щодо забезпечення технологічного та/або комерційного обліку ресурсів, з них:</t>
  </si>
  <si>
    <t>2.1.</t>
  </si>
  <si>
    <t>Встановлення вузлів обліку теплової енергії у споживачів</t>
  </si>
  <si>
    <t>2.2.</t>
  </si>
  <si>
    <t>Встановлення приладвів обліку споживання гарячої води</t>
  </si>
  <si>
    <t>Усього за підпунктом 2</t>
  </si>
  <si>
    <t>3.</t>
  </si>
  <si>
    <t>Заходи щодо впровадження та розвитку інформаційних технологій, з них:</t>
  </si>
  <si>
    <t>Розробка і впровадження програмного забезпечення з використанням SKADA-системи</t>
  </si>
  <si>
    <t>Усього за підпунктом 3</t>
  </si>
  <si>
    <t>Усього за інвестиційною програмою</t>
  </si>
  <si>
    <t>Амортизація  за період 2020-2025</t>
  </si>
  <si>
    <t>Аморртизація з урахуванням передачі (квітень 2020)</t>
  </si>
  <si>
    <t>Використання амортизації у  2020 році</t>
  </si>
  <si>
    <t xml:space="preserve">Використання амортизації  по роках </t>
  </si>
  <si>
    <t xml:space="preserve">                     </t>
  </si>
  <si>
    <t>Додаток 4</t>
  </si>
  <si>
    <t>до Порядку розроблення, погодження</t>
  </si>
  <si>
    <t>та затвердження інвестиційних програм</t>
  </si>
  <si>
    <t>суб’єктів господарювання у сфері</t>
  </si>
  <si>
    <t>теплопостачання</t>
  </si>
  <si>
    <t>ПОГОДЖЕНО</t>
  </si>
  <si>
    <t>ЗАТВЕРДЖЕНО</t>
  </si>
  <si>
    <t>Рішення____________________________</t>
  </si>
  <si>
    <t>____________________________________</t>
  </si>
  <si>
    <t>_____________________________________</t>
  </si>
  <si>
    <t>                  (посадова особа ліцензіата)</t>
  </si>
  <si>
    <t>(найменування органу місцевого самоврядування)</t>
  </si>
  <si>
    <t>          (підпис)                                      (П.І.Б.)</t>
  </si>
  <si>
    <t>від ____________________ № _______</t>
  </si>
  <si>
    <t>М.П.</t>
  </si>
  <si>
    <t>"___" ____________ 20____ року</t>
  </si>
  <si>
    <t>ФІНАНСОВИЙ ПЛАН</t>
  </si>
  <si>
    <t>___________________________________________________________________</t>
  </si>
  <si>
    <t>(найменування ліцензіата)</t>
  </si>
  <si>
    <t>Фінансовий план використання коштів на виконання інвестиційної програми за джерелами фінансування, тис.грн (без ПДВ)</t>
  </si>
  <si>
    <t>За способом виконання, тис.грн (без ПДВ)</t>
  </si>
  <si>
    <t>Графік здійснення заходів та використання коштів на планований та прогнозний періоди тис.грн (без ПДВ)</t>
  </si>
  <si>
    <t>Строк окупності (місяців) **</t>
  </si>
  <si>
    <t>№ аркуша обґрунтовуючих матеріалів</t>
  </si>
  <si>
    <t>Економія паливно-енергетичних ресурсів (тонни умовного палива/прогнозний період)</t>
  </si>
  <si>
    <t>Економія фонду заробітної плати, (тис. грн/прогнозний період)</t>
  </si>
  <si>
    <t>Економічний ефект (тис.грн ) ***</t>
  </si>
  <si>
    <t>загальна сума</t>
  </si>
  <si>
    <t>господарський (вартість матеріальних ресурсів)</t>
  </si>
  <si>
    <t>підрядний</t>
  </si>
  <si>
    <t>прогнозний період</t>
  </si>
  <si>
    <t>амортизаційні відрахування</t>
  </si>
  <si>
    <t>позичкові кошти</t>
  </si>
  <si>
    <t>інші залучені кошти, з них:</t>
  </si>
  <si>
    <t>бюджетні кошти (не підлягають поверненню)</t>
  </si>
  <si>
    <t>підлягають поверненню</t>
  </si>
  <si>
    <t>не підлягають поверненню</t>
  </si>
  <si>
    <t>2020 р</t>
  </si>
  <si>
    <t>2021р</t>
  </si>
  <si>
    <t>2022 р</t>
  </si>
  <si>
    <t>2023 р</t>
  </si>
  <si>
    <t>2024 р</t>
  </si>
  <si>
    <r>
      <t xml:space="preserve">планований період + n*
</t>
    </r>
    <r>
      <rPr>
        <b/>
        <sz val="10"/>
        <color rgb="FF0070C0"/>
        <rFont val="Times New Roman"/>
        <family val="1"/>
        <charset val="204"/>
      </rPr>
      <t>2025 р</t>
    </r>
  </si>
  <si>
    <t>14.1</t>
  </si>
  <si>
    <t>І</t>
  </si>
  <si>
    <t>Виробництво теплової енергії</t>
  </si>
  <si>
    <t xml:space="preserve"> 1.1</t>
  </si>
  <si>
    <t>Будівництво, реконструкція та модернізація об’єктів теплопостачання (звільняється від оподаткування згідно з пунктом 154.9 статті 154 Податкового кодексу України), з урахуванням:</t>
  </si>
  <si>
    <t xml:space="preserve"> 1.1.1</t>
  </si>
  <si>
    <t>х</t>
  </si>
  <si>
    <t>Усього за підпунктом 1.1.1</t>
  </si>
  <si>
    <t xml:space="preserve"> 1.1.2</t>
  </si>
  <si>
    <t>Усього за підпунктом 1.1.2</t>
  </si>
  <si>
    <t>Інші заходи, з них:</t>
  </si>
  <si>
    <t>Усього за підпунктом 1.1.3</t>
  </si>
  <si>
    <t>Усього за пунктом 1.1</t>
  </si>
  <si>
    <t xml:space="preserve"> 1.2</t>
  </si>
  <si>
    <t>Інші заходи (не звільняється від оподаткування згідно з пунктом 154.9 статті 154 Податкового кодексу України), з урахуванням:</t>
  </si>
  <si>
    <t xml:space="preserve"> 1.2.1</t>
  </si>
  <si>
    <t>Усього за підпунктом 1.2.1</t>
  </si>
  <si>
    <t xml:space="preserve"> 1.2.2</t>
  </si>
  <si>
    <t>Усього за підпунктом 1.2.2</t>
  </si>
  <si>
    <t xml:space="preserve"> 1.2.3</t>
  </si>
  <si>
    <t>Усього за підпунктом 1.2.3</t>
  </si>
  <si>
    <t xml:space="preserve"> 1.2.4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</si>
  <si>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</si>
  <si>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1.2.4</t>
  </si>
  <si>
    <t xml:space="preserve"> 1.2.5</t>
  </si>
  <si>
    <t>Усього за підпунктом 1.2.5</t>
  </si>
  <si>
    <t>Усього за пунктом 1.2</t>
  </si>
  <si>
    <t>Усього за розділом І</t>
  </si>
  <si>
    <t>ІІ</t>
  </si>
  <si>
    <t xml:space="preserve"> 2.1</t>
  </si>
  <si>
    <t xml:space="preserve"> 2.1.1</t>
  </si>
  <si>
    <t>Усього за підпунктом 2.1.1</t>
  </si>
  <si>
    <t xml:space="preserve"> 2.1.2</t>
  </si>
  <si>
    <t>Усього за підпунктом 2.1.2</t>
  </si>
  <si>
    <t xml:space="preserve"> 2.1.3</t>
  </si>
  <si>
    <t>Усього за підпунктом 2.1.3</t>
  </si>
  <si>
    <t>Усього за пунктом 2.1</t>
  </si>
  <si>
    <t xml:space="preserve"> 2.2</t>
  </si>
  <si>
    <t xml:space="preserve"> 2.2.1</t>
  </si>
  <si>
    <t>Усього за підпунктом 2.2.1</t>
  </si>
  <si>
    <t xml:space="preserve"> 2.2.2</t>
  </si>
  <si>
    <t>Усього за підпунктом 2.2.2</t>
  </si>
  <si>
    <t xml:space="preserve"> 2.2.3</t>
  </si>
  <si>
    <t>Усього за підпунктом 2.2.3</t>
  </si>
  <si>
    <t xml:space="preserve"> 2.2.4</t>
  </si>
  <si>
    <t>Усього за підпунктом 2.2.4</t>
  </si>
  <si>
    <t xml:space="preserve"> 2.2.5</t>
  </si>
  <si>
    <t>Усього за підпунктом 2.2.5</t>
  </si>
  <si>
    <t>Усього за пунктом 2.2</t>
  </si>
  <si>
    <t>Усього за розділом ІІ</t>
  </si>
  <si>
    <t>ІІІ</t>
  </si>
  <si>
    <t>Постачання теплової енергії</t>
  </si>
  <si>
    <t xml:space="preserve"> 3.1</t>
  </si>
  <si>
    <t xml:space="preserve"> 3.1.1</t>
  </si>
  <si>
    <t>Усього за підпунктом 3.1.1</t>
  </si>
  <si>
    <t xml:space="preserve"> 3.1.2</t>
  </si>
  <si>
    <t>Усього за підпунктом 3.1.2</t>
  </si>
  <si>
    <t xml:space="preserve"> 3.1.3</t>
  </si>
  <si>
    <t>Усього за підпунктом 3.1.3</t>
  </si>
  <si>
    <t>Усього за пунктом 3.1</t>
  </si>
  <si>
    <t xml:space="preserve"> 3.2</t>
  </si>
  <si>
    <t xml:space="preserve"> 3.2.1</t>
  </si>
  <si>
    <t>Усього за підпунктом 3.2.1</t>
  </si>
  <si>
    <t xml:space="preserve"> 3.2.2</t>
  </si>
  <si>
    <t>Усього за підпунктом 3.2.2</t>
  </si>
  <si>
    <t xml:space="preserve"> 3.2.3</t>
  </si>
  <si>
    <t>Усього за підпунктом 3.2.3</t>
  </si>
  <si>
    <t xml:space="preserve"> 3.2.4</t>
  </si>
  <si>
    <t>Усього за підпунктом 3.2.4</t>
  </si>
  <si>
    <t xml:space="preserve"> 3.2.5</t>
  </si>
  <si>
    <t>Усього за підпунктом 3.2.5</t>
  </si>
  <si>
    <t>Усього за пунктом 3.2</t>
  </si>
  <si>
    <t>Усього за розділом ІІІ</t>
  </si>
  <si>
    <t>__________</t>
  </si>
  <si>
    <t>Примітки:</t>
  </si>
  <si>
    <t>х - ліцензіатом не заповнюється.</t>
  </si>
  <si>
    <t>___________________________</t>
  </si>
  <si>
    <t>___________</t>
  </si>
  <si>
    <t>(посада відповідального виконавця)</t>
  </si>
  <si>
    <t>(підпис)</t>
  </si>
  <si>
    <t>(прізвище, ім’я, по батькові)</t>
  </si>
  <si>
    <r>
      <t xml:space="preserve">
</t>
    </r>
    <r>
      <rPr>
        <b/>
        <sz val="10"/>
        <color rgb="FF0070C0"/>
        <rFont val="Times New Roman"/>
        <family val="1"/>
        <charset val="204"/>
      </rPr>
      <t>2018р</t>
    </r>
  </si>
  <si>
    <t>Додаток 5                                                                                                                                            до Порядку розроблення, погодження та затвердження інвестиційних програм суб’єктів господарювання у сфері теплопостачання</t>
  </si>
  <si>
    <t xml:space="preserve">ЗАТВЕРДЖЕНО                         </t>
  </si>
  <si>
    <t>Рішення____________________________________</t>
  </si>
  <si>
    <t>_________________________________________</t>
  </si>
  <si>
    <t xml:space="preserve">                      (найменування органу місцевого самоврядування)</t>
  </si>
  <si>
    <t>(посадова особа ліцензіата)</t>
  </si>
  <si>
    <t>від ________________________ №_____________</t>
  </si>
  <si>
    <t>(П.І.Б.)</t>
  </si>
  <si>
    <t>"____"_______________ 20____ року</t>
  </si>
  <si>
    <t>використання коштів для  виконання  інвестиційної програми та  їх урахування у структурі тарифів на 12 місяців</t>
  </si>
  <si>
    <t>________________________________________________________________________________________________________________________________________________________</t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</si>
  <si>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          тис. грн.           (без ПДВ)</t>
    </r>
  </si>
  <si>
    <t xml:space="preserve"> За способом виконання, тис. грн. (без ПДВ)</t>
  </si>
  <si>
    <r>
      <t xml:space="preserve">Строк окупності (місяців) </t>
    </r>
    <r>
      <rPr>
        <b/>
        <sz val="10"/>
        <rFont val="Times New Roman"/>
        <family val="1"/>
        <charset val="204"/>
      </rPr>
      <t>*</t>
    </r>
  </si>
  <si>
    <t>Економія паливно-енергетичних ресурсів                  (тонни умовного палива/прогнозний період)</t>
  </si>
  <si>
    <t>Економія фонду заробітної плати (тис. грн./рік)</t>
  </si>
  <si>
    <r>
      <t xml:space="preserve">Економічний ефект (тис. грн.) </t>
    </r>
    <r>
      <rPr>
        <b/>
        <sz val="10"/>
        <rFont val="Times New Roman"/>
        <family val="1"/>
        <charset val="204"/>
      </rPr>
      <t xml:space="preserve">** </t>
    </r>
  </si>
  <si>
    <t>господарський  (вартість    матеріальних ресурсів)</t>
  </si>
  <si>
    <t>підряд-  ний</t>
  </si>
  <si>
    <t>І кв.</t>
  </si>
  <si>
    <t>ІІ кв.</t>
  </si>
  <si>
    <t>ІІІ кв.</t>
  </si>
  <si>
    <t>ІV кв.</t>
  </si>
  <si>
    <r>
      <t>отримані у планова-ному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позичкові кошти фінансових установ, що підлягають повер-ненню</t>
    </r>
  </si>
  <si>
    <r>
      <t>отримані у планова-ному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 бюджетні кошти, що не підлягають поверненню</t>
    </r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</si>
  <si>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 Податкового кодексу України), з урахуванням:</t>
    </r>
  </si>
  <si>
    <t xml:space="preserve">  1.1.1</t>
  </si>
  <si>
    <t>х </t>
  </si>
  <si>
    <t xml:space="preserve">  1.1.2 </t>
  </si>
  <si>
    <t xml:space="preserve">  1.1.3</t>
  </si>
  <si>
    <t xml:space="preserve">  1.2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</si>
  <si>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</si>
  <si>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t>Продовження додатка 5</t>
  </si>
  <si>
    <t xml:space="preserve">  1.2.4</t>
  </si>
  <si>
    <t xml:space="preserve"> 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</si>
  <si>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t xml:space="preserve">  2.1.1</t>
  </si>
  <si>
    <t xml:space="preserve">  2.1.2 </t>
  </si>
  <si>
    <t xml:space="preserve">  2.1.3</t>
  </si>
  <si>
    <t xml:space="preserve">  2.2</t>
  </si>
  <si>
    <t>Заходи щодо забезпечення  технологічного та/або комерційного обліку ресурсів, з них:</t>
  </si>
  <si>
    <t xml:space="preserve">  2.2.4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</si>
  <si>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</si>
  <si>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t xml:space="preserve">  3.1.1</t>
  </si>
  <si>
    <t xml:space="preserve">  3.1.2</t>
  </si>
  <si>
    <t xml:space="preserve">  3.1.3</t>
  </si>
  <si>
    <t xml:space="preserve">  3.2</t>
  </si>
  <si>
    <t xml:space="preserve">  3.2.4</t>
  </si>
  <si>
    <t>Усього за підпунктом3.2.4</t>
  </si>
  <si>
    <t>* Суми витрат по заходах та економічний ефект від їх упровадження  при розрахунку строку окупності враховувати без ПДВ.</t>
  </si>
  <si>
    <t>** Складові розрахунку економічного ефекту від упровадження  заходів ураховувати без ПДВ.</t>
  </si>
  <si>
    <t>__________________________________</t>
  </si>
  <si>
    <t>________                  __________________________________________</t>
  </si>
  <si>
    <t xml:space="preserve">                (посада відповідального виконавця)</t>
  </si>
  <si>
    <t xml:space="preserve">   (підпис)</t>
  </si>
  <si>
    <r>
      <t>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</si>
  <si>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планований період (2018,  2020)</t>
  </si>
  <si>
    <t>2.1.1.1</t>
  </si>
  <si>
    <t>2.1.1.2</t>
  </si>
  <si>
    <t>2.1.1.3</t>
  </si>
  <si>
    <t>2.1.1.4</t>
  </si>
  <si>
    <t>2.1.1.5</t>
  </si>
  <si>
    <t>2.1.1.6</t>
  </si>
  <si>
    <t>2.1.1.7</t>
  </si>
  <si>
    <t>2.1.2.1</t>
  </si>
  <si>
    <t>2.1.2.2</t>
  </si>
  <si>
    <t>2.2.3.1</t>
  </si>
  <si>
    <t>ПЛАН ВИТРАТ</t>
  </si>
  <si>
    <t>за джерелами фінансування на виконання інвестиційної програми 
для врахування у структурі тарифів на 12 місяців</t>
  </si>
  <si>
    <t>Найменування заходів</t>
  </si>
  <si>
    <t>Кошти, що враховуються у структурі тарифів за джерелами фінансування, тис.грн (без ПДВ)</t>
  </si>
  <si>
    <t>сума позичкових коштів та відсотків за їх використання, що підлягає поверненню у планованому періоді</t>
  </si>
  <si>
    <t>сума інших залучених коштів, що підлягає поверненню у планованому періоді</t>
  </si>
  <si>
    <t>Будівництво, реконструкція та модернізація об’єктів теплопостачання (звільняється від оподаткування згідно з пунктом 154.9 статті 154 Податкового кодексу України), з урахуванням :</t>
  </si>
  <si>
    <t>Заходи зі зниження питомих витрат, а також втрат ресурсів</t>
  </si>
  <si>
    <t>Заходи щодо забезпечення технологічного та/або комерційного обліку ресурсів</t>
  </si>
  <si>
    <t xml:space="preserve"> 1.1.3</t>
  </si>
  <si>
    <t>Інші заходи</t>
  </si>
  <si>
    <t>1.2.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</si>
  <si>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</si>
  <si>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</si>
  <si>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>________</t>
  </si>
  <si>
    <t>_______________________</t>
  </si>
  <si>
    <t>Фінансовий директор (головний бухгалтер)</t>
  </si>
  <si>
    <t>ПАТ "Донбасенерго"</t>
  </si>
  <si>
    <t xml:space="preserve"> Будівництво, поліпшення (реконструкція) та капітальний ремонт об’єктів теплопостачання</t>
  </si>
  <si>
    <t>2020-2021</t>
  </si>
  <si>
    <t>2021-2022</t>
  </si>
  <si>
    <t>2022-2023</t>
  </si>
  <si>
    <t>2023-2024</t>
  </si>
  <si>
    <t>2024-2025</t>
  </si>
  <si>
    <t>2025-2026</t>
  </si>
  <si>
    <t>2026-2027</t>
  </si>
  <si>
    <t>2027-2028</t>
  </si>
  <si>
    <t>2028-2029</t>
  </si>
  <si>
    <t>2029-2030</t>
  </si>
  <si>
    <t xml:space="preserve"> з них для компенсації в тарифі ОП 2020-2021</t>
  </si>
  <si>
    <t xml:space="preserve">опалювальний період </t>
  </si>
  <si>
    <t>2018-2020</t>
  </si>
  <si>
    <t>виконання ІП</t>
  </si>
  <si>
    <t>відшкодування ІП в тарифі</t>
  </si>
  <si>
    <t>опал</t>
  </si>
  <si>
    <t>ІП в тарифі</t>
  </si>
  <si>
    <t>грн/Гкал</t>
  </si>
  <si>
    <t>Т=</t>
  </si>
  <si>
    <t>тис Гкал</t>
  </si>
  <si>
    <t xml:space="preserve"> +</t>
  </si>
  <si>
    <t>Інвестиційна складова в тарифі на теплову енергію</t>
  </si>
  <si>
    <t>≈ +</t>
  </si>
  <si>
    <t xml:space="preserve"> 4.1</t>
  </si>
  <si>
    <t xml:space="preserve"> 4.2</t>
  </si>
  <si>
    <t xml:space="preserve"> 4.3</t>
  </si>
  <si>
    <t xml:space="preserve"> 4.4</t>
  </si>
  <si>
    <t xml:space="preserve"> 4.5</t>
  </si>
  <si>
    <t xml:space="preserve"> 4.6</t>
  </si>
  <si>
    <t>в тому числі в опалювальних періодах</t>
  </si>
  <si>
    <t xml:space="preserve"> 7.1</t>
  </si>
  <si>
    <t xml:space="preserve"> 7.2</t>
  </si>
  <si>
    <t xml:space="preserve"> 7.3</t>
  </si>
  <si>
    <t xml:space="preserve"> 7.4</t>
  </si>
  <si>
    <t xml:space="preserve"> 7.5</t>
  </si>
  <si>
    <t xml:space="preserve"> 7.6</t>
  </si>
  <si>
    <t xml:space="preserve"> 7.7</t>
  </si>
  <si>
    <t xml:space="preserve"> 7.8</t>
  </si>
  <si>
    <t xml:space="preserve"> 7.9</t>
  </si>
  <si>
    <t xml:space="preserve"> 7.10</t>
  </si>
  <si>
    <t>Додаток 6.1</t>
  </si>
  <si>
    <t xml:space="preserve"> </t>
  </si>
  <si>
    <t>Передані в Концесію ОЗ</t>
  </si>
  <si>
    <t>Группа "Трубопроводи" (10 років)</t>
  </si>
  <si>
    <t>Группа "Машини і обладнання" (5 років)</t>
  </si>
  <si>
    <t>Группа "Прилади" (4 роки)</t>
  </si>
  <si>
    <t>Группа "Програмне забезпечення" (2 роки)</t>
  </si>
  <si>
    <t>введення ОЗ по роках</t>
  </si>
  <si>
    <t>введення Оз наростаючим підсумком</t>
  </si>
  <si>
    <t>амортизація по роках</t>
  </si>
  <si>
    <t>Розрахунок амортизації по введеним (поліпшеним)  концесіонером ОЗ</t>
  </si>
  <si>
    <t>Всього Амортизація</t>
  </si>
  <si>
    <t>Виведення на час проведення реконструкцыї</t>
  </si>
  <si>
    <t>Всього Амортизація по введеним ОЗ</t>
  </si>
  <si>
    <t>Всього</t>
  </si>
  <si>
    <t>передавальні пристрої</t>
  </si>
  <si>
    <t>машини та обладнання</t>
  </si>
  <si>
    <t>прилади</t>
  </si>
  <si>
    <t>ПЗ</t>
  </si>
  <si>
    <t>Групи основних засобів</t>
  </si>
  <si>
    <t>Амортизация по ставці 20%  5 лет</t>
  </si>
  <si>
    <t>Амортизация по ставці  6,67 %  15 лет</t>
  </si>
  <si>
    <t>Группа "Трубопроводи" (15 років)</t>
  </si>
  <si>
    <t xml:space="preserve">амортизація по роках по введеним ОЗ </t>
  </si>
  <si>
    <t xml:space="preserve">амортизація по переданим ОЗ </t>
  </si>
  <si>
    <t xml:space="preserve">Всього амортизація по переданим та введеним ОЗ </t>
  </si>
  <si>
    <t xml:space="preserve">амортизація по роках по переданим ОЗ </t>
  </si>
  <si>
    <t xml:space="preserve">Всього амортизація по  переданим ОЗ </t>
  </si>
  <si>
    <t>введення ОЗ наростаючим підсумком</t>
  </si>
  <si>
    <t>освоєння КІ</t>
  </si>
  <si>
    <t xml:space="preserve">амортизація 
</t>
  </si>
  <si>
    <t>амортизація</t>
  </si>
  <si>
    <t>Всього за період освоєння ІП</t>
  </si>
  <si>
    <t>Разом на 10 опалювальних періодів</t>
  </si>
  <si>
    <t>Разом на 11 календарних років (2020-2030)</t>
  </si>
  <si>
    <t>Амортизація в період освоєння ІП</t>
  </si>
  <si>
    <t>ІП всього</t>
  </si>
  <si>
    <t xml:space="preserve">Інвестиції з прибутку в період освоєння ІП </t>
  </si>
  <si>
    <t xml:space="preserve">Непокриаі джерелами в період освоєння ІП </t>
  </si>
  <si>
    <t>Нарахована амортизація</t>
  </si>
  <si>
    <t xml:space="preserve">Усього джерел (нарахована амортизація + прибуток) </t>
  </si>
  <si>
    <t>використано в 2023/2024</t>
  </si>
  <si>
    <t>використано в 2025/2026</t>
  </si>
  <si>
    <t>Залишок невикористаних амортизаційних відрахувань</t>
  </si>
  <si>
    <t>Відсоток розподілу джерел  між заходами (2020-2029)</t>
  </si>
  <si>
    <t>∆1</t>
  </si>
  <si>
    <t>∆2</t>
  </si>
  <si>
    <t>∆3</t>
  </si>
  <si>
    <t>∆4</t>
  </si>
  <si>
    <t>∆5</t>
  </si>
  <si>
    <t>∆6</t>
  </si>
  <si>
    <t>∑∆</t>
  </si>
  <si>
    <t>Відшкодування інвестицій  (з дотриманням граничного ріня інвестиційної складової)</t>
  </si>
  <si>
    <r>
      <t>∆</t>
    </r>
    <r>
      <rPr>
        <vertAlign val="subscript"/>
        <sz val="12"/>
        <color rgb="FFFF0000"/>
        <rFont val="Calibri"/>
        <family val="2"/>
        <charset val="204"/>
      </rPr>
      <t>1</t>
    </r>
  </si>
  <si>
    <r>
      <t>∆</t>
    </r>
    <r>
      <rPr>
        <vertAlign val="subscript"/>
        <sz val="12"/>
        <color rgb="FFFF0000"/>
        <rFont val="Calibri"/>
        <family val="2"/>
        <charset val="204"/>
      </rPr>
      <t>2</t>
    </r>
  </si>
  <si>
    <r>
      <t>∆</t>
    </r>
    <r>
      <rPr>
        <vertAlign val="subscript"/>
        <sz val="12"/>
        <color rgb="FFFF0000"/>
        <rFont val="Calibri"/>
        <family val="2"/>
        <charset val="204"/>
      </rPr>
      <t>3</t>
    </r>
  </si>
  <si>
    <r>
      <t>∆</t>
    </r>
    <r>
      <rPr>
        <vertAlign val="subscript"/>
        <sz val="12"/>
        <color rgb="FFFF0000"/>
        <rFont val="Calibri"/>
        <family val="2"/>
        <charset val="204"/>
      </rPr>
      <t>4</t>
    </r>
  </si>
  <si>
    <r>
      <t>∆</t>
    </r>
    <r>
      <rPr>
        <vertAlign val="subscript"/>
        <sz val="12"/>
        <color rgb="FFFF0000"/>
        <rFont val="Calibri"/>
        <family val="2"/>
        <charset val="204"/>
      </rPr>
      <t>5</t>
    </r>
  </si>
  <si>
    <r>
      <t>∆</t>
    </r>
    <r>
      <rPr>
        <vertAlign val="subscript"/>
        <sz val="12"/>
        <color rgb="FFFF0000"/>
        <rFont val="Calibri"/>
        <family val="2"/>
        <charset val="204"/>
      </rPr>
      <t>6</t>
    </r>
  </si>
  <si>
    <t>% розподілу джерел  між заходами (2020-2029)</t>
  </si>
  <si>
    <t xml:space="preserve"> в опалювальних періодах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</si>
  <si>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</si>
  <si>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</si>
  <si>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</si>
  <si>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</si>
  <si>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</si>
  <si>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</si>
  <si>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</si>
  <si>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</si>
  <si>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</si>
  <si>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</si>
  <si>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</si>
  <si>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</si>
  <si>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</si>
  <si>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</si>
  <si>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</si>
  <si>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</si>
  <si>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</si>
  <si>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</si>
  <si>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</si>
  <si>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</si>
  <si>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</si>
  <si>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</si>
  <si>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</si>
  <si>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</si>
  <si>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</si>
  <si>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</si>
  <si>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</si>
  <si>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</si>
  <si>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</si>
  <si>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</si>
  <si>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</si>
  <si>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</si>
  <si>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</si>
  <si>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</si>
  <si>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</si>
  <si>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</si>
  <si>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</si>
  <si>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1. ВСЬОГО</t>
  </si>
  <si>
    <t>1) за рахунок ТАРИФУ на теплову енергію</t>
  </si>
  <si>
    <r>
      <t xml:space="preserve">2)  за рахунок ВНЕСКУ  на встановлення вузлів комерційного обліку 
</t>
    </r>
    <r>
      <rPr>
        <sz val="11"/>
        <color rgb="FFFF0000"/>
        <rFont val="Times New Roman"/>
        <family val="1"/>
        <charset val="204"/>
      </rPr>
      <t>( Наказ МінРегіону від 05.06..2018 №129)</t>
    </r>
  </si>
  <si>
    <t>виробничі інвестиції з прибутку/внесок на встановлення  комерційних приладі вобліку</t>
  </si>
  <si>
    <t>використання коштів для виконання інвестиційної програми на 2018 - 2030  роки</t>
  </si>
  <si>
    <t>виробничі інвестиції з прибутку / внески на встановлення вузлів комерційного обліку</t>
  </si>
  <si>
    <t>А</t>
  </si>
  <si>
    <t>Пр / Вн</t>
  </si>
  <si>
    <t>Пр</t>
  </si>
  <si>
    <t xml:space="preserve"> Вн</t>
  </si>
  <si>
    <t>ІНВЕСТИЦІЙНА СКЛАДОВА
 в ТАРИФІ на теплову енергію та у ВНЕСКАХ на встановлення вузлів комерційного обліку</t>
  </si>
  <si>
    <t>млн.грн</t>
  </si>
  <si>
    <t>∆</t>
  </si>
  <si>
    <t>Вплив інвестиційної складової на тариф на теплову енергію</t>
  </si>
  <si>
    <t>діючий тариф</t>
  </si>
  <si>
    <t>діючий тариф на скоригований відпуск</t>
  </si>
  <si>
    <t>рост 
тарифу</t>
  </si>
  <si>
    <t>частка ІС 
тарифу</t>
  </si>
  <si>
    <t>прогноз частки ІНВЕСТИЦІЙНОЇ СКЛАДОВОЇ в тарифі на ТЕ</t>
  </si>
  <si>
    <t xml:space="preserve">Амортизація  (без приладів обліку) </t>
  </si>
  <si>
    <t xml:space="preserve">Розрахунок амортизації по введеним (поліпшеним)  концесіонером ОЗ згідно з  нормами  ПКУ </t>
  </si>
  <si>
    <t>Використання  перехідних залишків амортизаційних відрахувань</t>
  </si>
  <si>
    <t>11, 26, 51, 60, 66, 70, 73</t>
  </si>
  <si>
    <t>15, 29, 53, 64, 73</t>
  </si>
  <si>
    <t>15, 31, 73</t>
  </si>
  <si>
    <t>16, 31, 73</t>
  </si>
  <si>
    <t>21, 65, 73</t>
  </si>
  <si>
    <t>21, 30, 57, 73</t>
  </si>
  <si>
    <t>23, 72, 73</t>
  </si>
  <si>
    <t>24, 70, 73</t>
  </si>
  <si>
    <t>24, 31, 59, 73</t>
  </si>
  <si>
    <t>25, 59, 73</t>
  </si>
  <si>
    <t>11, 26, 73</t>
  </si>
  <si>
    <t>21, 30, 73</t>
  </si>
  <si>
    <t>24, 31, 73</t>
  </si>
  <si>
    <t>15, 29, 73</t>
  </si>
  <si>
    <t>Додаток 1</t>
  </si>
  <si>
    <t>до Інвестиційної програми</t>
  </si>
  <si>
    <t>Додаток 2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</si>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</sst>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_-* #,##0.00\ &quot;грн.&quot;_-;\-* #,##0.00\ &quot;грн.&quot;_-;_-* &quot;-&quot;??\ &quot;грн.&quot;_-;_-@_-"/>
    <numFmt numFmtId="166" formatCode="0.0"/>
    <numFmt numFmtId="167" formatCode="#,##0.0"/>
    <numFmt numFmtId="168" formatCode="#,##0.000"/>
    <numFmt numFmtId="169" formatCode="0.000"/>
    <numFmt numFmtId="170" formatCode="0.0%"/>
    <numFmt numFmtId="171" formatCode="0.0000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</font>
    <font>
      <sz val="12"/>
      <name val="Arial Cyr"/>
      <charset val="204"/>
    </font>
    <font>
      <sz val="9"/>
      <name val="Times New Roman"/>
      <family val="1"/>
      <charset val="204"/>
    </font>
    <font>
      <b/>
      <sz val="1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9"/>
      <name val="Arial Cyr"/>
      <charset val="204"/>
    </font>
    <font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Calibri"/>
      <family val="2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9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4"/>
      <color theme="9" tint="-0.249977111117893"/>
      <name val="Calibri"/>
      <family val="2"/>
      <charset val="204"/>
      <scheme val="minor"/>
    </font>
    <font>
      <b/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 tint="0.49998474074526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 tint="0.499984740745262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vertAlign val="subscript"/>
      <sz val="12"/>
      <color rgb="FFFF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8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9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/>
      <right/>
      <top style="thin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theme="0" tint="-0.499984740745262"/>
      </left>
      <right style="thin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theme="0" tint="-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</borders>
  <cellStyleXfs count="9">
    <xf numFmtId="0" fontId="0" fillId="0" borderId="0"/>
    <xf numFmtId="0" fontId="4" fillId="0" borderId="0"/>
    <xf numFmtId="0" fontId="10" fillId="0" borderId="0"/>
    <xf numFmtId="0" fontId="10" fillId="0" borderId="0"/>
    <xf numFmtId="0" fontId="19" fillId="0" borderId="0"/>
    <xf numFmtId="164" fontId="1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721">
    <xf numFmtId="0" fontId="0" fillId="0" borderId="0" xfId="0"/>
    <xf numFmtId="0" fontId="4" fillId="0" borderId="0" xfId="1"/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4" xfId="1" applyFont="1" applyBorder="1" applyAlignment="1">
      <alignment horizontal="justify" vertical="center"/>
    </xf>
    <xf numFmtId="0" fontId="6" fillId="0" borderId="4" xfId="1" applyFont="1" applyBorder="1" applyAlignment="1">
      <alignment vertical="center" wrapText="1"/>
    </xf>
    <xf numFmtId="3" fontId="6" fillId="0" borderId="4" xfId="1" applyNumberFormat="1" applyFont="1" applyBorder="1" applyAlignment="1">
      <alignment horizontal="justify" vertical="center"/>
    </xf>
    <xf numFmtId="0" fontId="6" fillId="0" borderId="4" xfId="1" applyFont="1" applyBorder="1" applyAlignment="1">
      <alignment horizontal="justify" vertical="center" wrapText="1"/>
    </xf>
    <xf numFmtId="0" fontId="6" fillId="0" borderId="3" xfId="1" applyFont="1" applyBorder="1" applyAlignment="1">
      <alignment horizontal="justify" vertical="center" wrapText="1"/>
    </xf>
    <xf numFmtId="3" fontId="6" fillId="0" borderId="4" xfId="1" applyNumberFormat="1" applyFont="1" applyBorder="1" applyAlignment="1">
      <alignment horizontal="justify" vertical="center" wrapText="1"/>
    </xf>
    <xf numFmtId="0" fontId="7" fillId="0" borderId="3" xfId="1" applyFont="1" applyBorder="1" applyAlignment="1">
      <alignment vertical="top" wrapText="1"/>
    </xf>
    <xf numFmtId="3" fontId="4" fillId="0" borderId="0" xfId="1" applyNumberFormat="1"/>
    <xf numFmtId="0" fontId="4" fillId="0" borderId="5" xfId="1" applyBorder="1"/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8" xfId="1" applyFont="1" applyBorder="1"/>
    <xf numFmtId="3" fontId="9" fillId="0" borderId="9" xfId="1" applyNumberFormat="1" applyFont="1" applyBorder="1"/>
    <xf numFmtId="3" fontId="9" fillId="0" borderId="10" xfId="1" applyNumberFormat="1" applyFont="1" applyBorder="1"/>
    <xf numFmtId="0" fontId="9" fillId="0" borderId="11" xfId="1" applyFont="1" applyBorder="1"/>
    <xf numFmtId="3" fontId="9" fillId="0" borderId="12" xfId="1" applyNumberFormat="1" applyFont="1" applyBorder="1"/>
    <xf numFmtId="3" fontId="9" fillId="0" borderId="13" xfId="1" applyNumberFormat="1" applyFont="1" applyBorder="1"/>
    <xf numFmtId="0" fontId="8" fillId="0" borderId="14" xfId="1" applyFont="1" applyBorder="1"/>
    <xf numFmtId="3" fontId="8" fillId="0" borderId="14" xfId="1" applyNumberFormat="1" applyFont="1" applyBorder="1"/>
    <xf numFmtId="0" fontId="11" fillId="0" borderId="0" xfId="2" applyFont="1" applyFill="1" applyAlignment="1">
      <alignment horizontal="center"/>
    </xf>
    <xf numFmtId="0" fontId="11" fillId="0" borderId="0" xfId="3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/>
    <xf numFmtId="0" fontId="13" fillId="0" borderId="0" xfId="2" applyFont="1" applyFill="1" applyBorder="1"/>
    <xf numFmtId="0" fontId="13" fillId="0" borderId="0" xfId="2" applyFont="1" applyFill="1"/>
    <xf numFmtId="0" fontId="13" fillId="0" borderId="23" xfId="2" applyFont="1" applyFill="1" applyBorder="1"/>
    <xf numFmtId="0" fontId="11" fillId="0" borderId="9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/>
    </xf>
    <xf numFmtId="0" fontId="12" fillId="0" borderId="9" xfId="2" applyFont="1" applyFill="1" applyBorder="1" applyAlignment="1">
      <alignment horizontal="center" wrapText="1"/>
    </xf>
    <xf numFmtId="0" fontId="12" fillId="0" borderId="9" xfId="3" applyFont="1" applyFill="1" applyBorder="1" applyAlignment="1" applyProtection="1">
      <alignment horizontal="center" wrapText="1"/>
      <protection locked="0"/>
    </xf>
    <xf numFmtId="0" fontId="13" fillId="0" borderId="23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 applyAlignment="1">
      <alignment horizontal="center"/>
    </xf>
    <xf numFmtId="0" fontId="13" fillId="0" borderId="23" xfId="2" applyFont="1" applyFill="1" applyBorder="1" applyAlignment="1"/>
    <xf numFmtId="16" fontId="11" fillId="0" borderId="9" xfId="2" applyNumberFormat="1" applyFont="1" applyFill="1" applyBorder="1" applyAlignment="1">
      <alignment horizontal="center"/>
    </xf>
    <xf numFmtId="0" fontId="18" fillId="0" borderId="23" xfId="2" applyFont="1" applyFill="1" applyBorder="1" applyAlignment="1"/>
    <xf numFmtId="14" fontId="11" fillId="0" borderId="9" xfId="2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49" fontId="11" fillId="0" borderId="9" xfId="2" applyNumberFormat="1" applyFont="1" applyFill="1" applyBorder="1" applyAlignment="1">
      <alignment horizontal="center"/>
    </xf>
    <xf numFmtId="0" fontId="11" fillId="0" borderId="15" xfId="2" applyFont="1" applyFill="1" applyBorder="1" applyAlignment="1">
      <alignment horizontal="left" wrapText="1"/>
    </xf>
    <xf numFmtId="3" fontId="12" fillId="0" borderId="9" xfId="2" applyNumberFormat="1" applyFont="1" applyFill="1" applyBorder="1" applyAlignment="1">
      <alignment horizontal="center"/>
    </xf>
    <xf numFmtId="3" fontId="11" fillId="2" borderId="9" xfId="4" applyNumberFormat="1" applyFont="1" applyFill="1" applyBorder="1" applyAlignment="1">
      <alignment horizontal="center" wrapText="1"/>
    </xf>
    <xf numFmtId="3" fontId="11" fillId="0" borderId="9" xfId="4" applyNumberFormat="1" applyFont="1" applyFill="1" applyBorder="1" applyAlignment="1">
      <alignment horizontal="center" wrapText="1"/>
    </xf>
    <xf numFmtId="3" fontId="11" fillId="0" borderId="9" xfId="2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1" fillId="0" borderId="16" xfId="2" applyFont="1" applyFill="1" applyBorder="1" applyAlignment="1">
      <alignment horizontal="left"/>
    </xf>
    <xf numFmtId="0" fontId="11" fillId="0" borderId="16" xfId="2" applyFont="1" applyFill="1" applyBorder="1" applyAlignment="1">
      <alignment horizontal="left" wrapText="1"/>
    </xf>
    <xf numFmtId="3" fontId="12" fillId="0" borderId="17" xfId="2" applyNumberFormat="1" applyFont="1" applyFill="1" applyBorder="1" applyAlignment="1">
      <alignment horizontal="center"/>
    </xf>
    <xf numFmtId="3" fontId="12" fillId="2" borderId="9" xfId="2" applyNumberFormat="1" applyFont="1" applyFill="1" applyBorder="1" applyAlignment="1">
      <alignment horizontal="center"/>
    </xf>
    <xf numFmtId="0" fontId="11" fillId="0" borderId="9" xfId="2" applyFont="1" applyFill="1" applyBorder="1" applyAlignment="1">
      <alignment horizontal="center"/>
    </xf>
    <xf numFmtId="0" fontId="13" fillId="0" borderId="0" xfId="2" applyFont="1" applyFill="1" applyBorder="1" applyAlignment="1"/>
    <xf numFmtId="0" fontId="11" fillId="0" borderId="15" xfId="3" applyNumberFormat="1" applyFont="1" applyFill="1" applyBorder="1" applyAlignment="1" applyProtection="1">
      <alignment horizontal="left" vertical="center" wrapText="1"/>
    </xf>
    <xf numFmtId="0" fontId="11" fillId="0" borderId="9" xfId="3" applyNumberFormat="1" applyFont="1" applyFill="1" applyBorder="1" applyAlignment="1" applyProtection="1">
      <alignment horizontal="center" vertical="center" wrapText="1"/>
    </xf>
    <xf numFmtId="3" fontId="12" fillId="0" borderId="9" xfId="3" applyNumberFormat="1" applyFont="1" applyFill="1" applyBorder="1" applyAlignment="1" applyProtection="1">
      <alignment horizontal="center" vertical="center" wrapText="1"/>
    </xf>
    <xf numFmtId="3" fontId="11" fillId="0" borderId="9" xfId="3" applyNumberFormat="1" applyFont="1" applyFill="1" applyBorder="1" applyAlignment="1" applyProtection="1">
      <alignment horizontal="center" vertical="center" wrapText="1"/>
    </xf>
    <xf numFmtId="0" fontId="11" fillId="0" borderId="9" xfId="2" applyFont="1" applyFill="1" applyBorder="1" applyAlignment="1">
      <alignment horizontal="left" wrapText="1"/>
    </xf>
    <xf numFmtId="3" fontId="11" fillId="0" borderId="9" xfId="4" applyNumberFormat="1" applyFont="1" applyFill="1" applyBorder="1" applyAlignment="1">
      <alignment horizontal="center" vertical="center" wrapText="1"/>
    </xf>
    <xf numFmtId="0" fontId="11" fillId="0" borderId="16" xfId="3" applyNumberFormat="1" applyFont="1" applyFill="1" applyBorder="1" applyAlignment="1" applyProtection="1">
      <alignment vertical="center" wrapText="1"/>
    </xf>
    <xf numFmtId="0" fontId="11" fillId="0" borderId="9" xfId="3" applyNumberFormat="1" applyFont="1" applyFill="1" applyBorder="1" applyAlignment="1" applyProtection="1">
      <alignment vertical="center" wrapText="1"/>
    </xf>
    <xf numFmtId="3" fontId="12" fillId="0" borderId="9" xfId="2" applyNumberFormat="1" applyFont="1" applyFill="1" applyBorder="1" applyAlignment="1"/>
    <xf numFmtId="3" fontId="12" fillId="0" borderId="26" xfId="2" applyNumberFormat="1" applyFont="1" applyBorder="1" applyAlignment="1">
      <alignment horizontal="center"/>
    </xf>
    <xf numFmtId="3" fontId="12" fillId="0" borderId="24" xfId="4" applyNumberFormat="1" applyFont="1" applyFill="1" applyBorder="1" applyAlignment="1">
      <alignment horizontal="center" wrapText="1"/>
    </xf>
    <xf numFmtId="2" fontId="12" fillId="0" borderId="24" xfId="4" applyNumberFormat="1" applyFont="1" applyFill="1" applyBorder="1" applyAlignment="1">
      <alignment horizontal="center" wrapText="1"/>
    </xf>
    <xf numFmtId="2" fontId="12" fillId="0" borderId="26" xfId="2" applyNumberFormat="1" applyFont="1" applyBorder="1" applyAlignment="1">
      <alignment horizontal="center"/>
    </xf>
    <xf numFmtId="1" fontId="12" fillId="0" borderId="24" xfId="4" applyNumberFormat="1" applyFont="1" applyFill="1" applyBorder="1" applyAlignment="1">
      <alignment horizontal="center" wrapText="1"/>
    </xf>
    <xf numFmtId="0" fontId="18" fillId="3" borderId="0" xfId="2" applyFont="1" applyFill="1" applyBorder="1" applyAlignment="1">
      <alignment horizontal="center"/>
    </xf>
    <xf numFmtId="0" fontId="13" fillId="3" borderId="0" xfId="2" applyFont="1" applyFill="1" applyBorder="1"/>
    <xf numFmtId="0" fontId="13" fillId="3" borderId="0" xfId="2" applyFont="1" applyFill="1"/>
    <xf numFmtId="0" fontId="11" fillId="0" borderId="0" xfId="2" applyFont="1" applyFill="1" applyBorder="1" applyAlignment="1">
      <alignment vertical="center" wrapText="1"/>
    </xf>
    <xf numFmtId="0" fontId="12" fillId="0" borderId="0" xfId="2" applyFont="1" applyFill="1" applyBorder="1" applyAlignment="1">
      <alignment horizontal="center"/>
    </xf>
    <xf numFmtId="3" fontId="12" fillId="0" borderId="0" xfId="2" applyNumberFormat="1" applyFont="1" applyFill="1" applyBorder="1" applyAlignment="1"/>
    <xf numFmtId="3" fontId="12" fillId="0" borderId="0" xfId="2" applyNumberFormat="1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 applyAlignment="1"/>
    <xf numFmtId="0" fontId="20" fillId="0" borderId="0" xfId="2" applyFont="1" applyFill="1"/>
    <xf numFmtId="0" fontId="16" fillId="0" borderId="0" xfId="2" applyFont="1" applyFill="1" applyBorder="1" applyAlignment="1"/>
    <xf numFmtId="0" fontId="21" fillId="0" borderId="0" xfId="2" applyFont="1" applyFill="1" applyAlignment="1">
      <alignment wrapText="1"/>
    </xf>
    <xf numFmtId="0" fontId="21" fillId="0" borderId="0" xfId="2" applyFont="1" applyFill="1"/>
    <xf numFmtId="0" fontId="16" fillId="0" borderId="0" xfId="2" applyFont="1" applyFill="1" applyAlignment="1"/>
    <xf numFmtId="0" fontId="21" fillId="0" borderId="0" xfId="2" applyFont="1" applyFill="1" applyAlignment="1"/>
    <xf numFmtId="164" fontId="16" fillId="0" borderId="0" xfId="5" applyFont="1" applyFill="1" applyAlignment="1"/>
    <xf numFmtId="164" fontId="21" fillId="0" borderId="0" xfId="5" applyFont="1" applyFill="1" applyAlignment="1"/>
    <xf numFmtId="0" fontId="16" fillId="0" borderId="0" xfId="2" applyFont="1" applyFill="1"/>
    <xf numFmtId="3" fontId="0" fillId="0" borderId="0" xfId="0" applyNumberFormat="1"/>
    <xf numFmtId="3" fontId="5" fillId="0" borderId="0" xfId="0" applyNumberFormat="1" applyFont="1"/>
    <xf numFmtId="0" fontId="4" fillId="0" borderId="0" xfId="1" applyAlignment="1">
      <alignment vertical="top" wrapText="1"/>
    </xf>
    <xf numFmtId="0" fontId="4" fillId="0" borderId="0" xfId="1" applyAlignment="1">
      <alignment vertical="center" wrapText="1"/>
    </xf>
    <xf numFmtId="0" fontId="23" fillId="0" borderId="30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center" wrapText="1"/>
    </xf>
    <xf numFmtId="0" fontId="26" fillId="0" borderId="30" xfId="1" applyFont="1" applyBorder="1" applyAlignment="1">
      <alignment horizontal="center" wrapText="1"/>
    </xf>
    <xf numFmtId="49" fontId="23" fillId="0" borderId="30" xfId="1" applyNumberFormat="1" applyFont="1" applyBorder="1" applyAlignment="1">
      <alignment horizontal="center" vertical="center" wrapText="1"/>
    </xf>
    <xf numFmtId="0" fontId="27" fillId="0" borderId="30" xfId="1" applyFont="1" applyBorder="1" applyAlignment="1">
      <alignment horizontal="center" vertical="center" wrapText="1"/>
    </xf>
    <xf numFmtId="16" fontId="23" fillId="0" borderId="30" xfId="1" applyNumberFormat="1" applyFont="1" applyBorder="1" applyAlignment="1">
      <alignment horizontal="center" vertical="center" wrapText="1"/>
    </xf>
    <xf numFmtId="14" fontId="23" fillId="0" borderId="30" xfId="1" applyNumberFormat="1" applyFont="1" applyBorder="1" applyAlignment="1">
      <alignment horizontal="center" vertical="center" wrapText="1"/>
    </xf>
    <xf numFmtId="0" fontId="30" fillId="0" borderId="30" xfId="1" applyFont="1" applyBorder="1" applyAlignment="1">
      <alignment vertical="top" wrapText="1"/>
    </xf>
    <xf numFmtId="0" fontId="25" fillId="0" borderId="0" xfId="1" applyFont="1" applyAlignment="1">
      <alignment horizontal="justify" vertical="center"/>
    </xf>
    <xf numFmtId="0" fontId="22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3" fillId="0" borderId="0" xfId="3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Fill="1" applyAlignment="1">
      <alignment horizontal="left" wrapText="1"/>
    </xf>
    <xf numFmtId="0" fontId="31" fillId="0" borderId="0" xfId="2" applyFont="1" applyFill="1" applyAlignment="1">
      <alignment horizontal="left" wrapText="1"/>
    </xf>
    <xf numFmtId="0" fontId="16" fillId="0" borderId="0" xfId="2" applyFont="1" applyFill="1" applyAlignment="1">
      <alignment horizontal="left" wrapText="1"/>
    </xf>
    <xf numFmtId="0" fontId="32" fillId="0" borderId="0" xfId="2" applyFont="1" applyFill="1" applyAlignment="1"/>
    <xf numFmtId="0" fontId="32" fillId="0" borderId="0" xfId="2" applyFont="1" applyFill="1" applyAlignment="1">
      <alignment horizontal="center"/>
    </xf>
    <xf numFmtId="0" fontId="33" fillId="0" borderId="0" xfId="2" applyFont="1" applyFill="1" applyAlignment="1">
      <alignment horizontal="left"/>
    </xf>
    <xf numFmtId="0" fontId="32" fillId="0" borderId="0" xfId="2" applyFont="1" applyFill="1"/>
    <xf numFmtId="0" fontId="33" fillId="0" borderId="0" xfId="2" applyFont="1" applyFill="1" applyAlignment="1">
      <alignment horizontal="center" vertical="top"/>
    </xf>
    <xf numFmtId="0" fontId="34" fillId="0" borderId="0" xfId="2" applyFont="1" applyFill="1" applyAlignment="1">
      <alignment vertical="top"/>
    </xf>
    <xf numFmtId="0" fontId="12" fillId="0" borderId="0" xfId="2" applyFont="1" applyFill="1" applyAlignment="1">
      <alignment horizontal="center"/>
    </xf>
    <xf numFmtId="0" fontId="13" fillId="0" borderId="9" xfId="2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/>
    </xf>
    <xf numFmtId="0" fontId="18" fillId="0" borderId="9" xfId="2" applyFont="1" applyFill="1" applyBorder="1" applyAlignment="1">
      <alignment horizontal="center" wrapText="1"/>
    </xf>
    <xf numFmtId="0" fontId="18" fillId="0" borderId="9" xfId="3" applyFont="1" applyFill="1" applyBorder="1" applyAlignment="1" applyProtection="1">
      <alignment horizontal="center" wrapText="1"/>
      <protection locked="0"/>
    </xf>
    <xf numFmtId="0" fontId="18" fillId="0" borderId="9" xfId="2" applyFont="1" applyFill="1" applyBorder="1" applyAlignment="1">
      <alignment horizontal="center" vertical="center"/>
    </xf>
    <xf numFmtId="16" fontId="13" fillId="0" borderId="9" xfId="2" applyNumberFormat="1" applyFont="1" applyFill="1" applyBorder="1" applyAlignment="1">
      <alignment horizontal="center"/>
    </xf>
    <xf numFmtId="14" fontId="13" fillId="0" borderId="9" xfId="2" applyNumberFormat="1" applyFont="1" applyFill="1" applyBorder="1" applyAlignment="1">
      <alignment horizontal="center"/>
    </xf>
    <xf numFmtId="3" fontId="13" fillId="0" borderId="9" xfId="4" applyNumberFormat="1" applyFont="1" applyFill="1" applyBorder="1" applyAlignment="1">
      <alignment horizontal="center" wrapText="1"/>
    </xf>
    <xf numFmtId="0" fontId="18" fillId="0" borderId="9" xfId="2" applyFont="1" applyFill="1" applyBorder="1" applyAlignment="1"/>
    <xf numFmtId="0" fontId="13" fillId="0" borderId="17" xfId="2" applyFont="1" applyFill="1" applyBorder="1" applyAlignment="1"/>
    <xf numFmtId="0" fontId="13" fillId="0" borderId="9" xfId="2" applyFont="1" applyFill="1" applyBorder="1" applyAlignment="1">
      <alignment horizontal="center"/>
    </xf>
    <xf numFmtId="0" fontId="13" fillId="0" borderId="9" xfId="2" applyFont="1" applyFill="1" applyBorder="1" applyAlignment="1"/>
    <xf numFmtId="14" fontId="13" fillId="0" borderId="9" xfId="2" applyNumberFormat="1" applyFont="1" applyFill="1" applyBorder="1" applyAlignment="1">
      <alignment horizontal="center" vertical="center" wrapText="1"/>
    </xf>
    <xf numFmtId="0" fontId="13" fillId="0" borderId="9" xfId="2" applyFont="1" applyFill="1" applyBorder="1"/>
    <xf numFmtId="165" fontId="13" fillId="0" borderId="9" xfId="7" applyFont="1" applyFill="1" applyBorder="1" applyAlignment="1">
      <alignment horizontal="center"/>
    </xf>
    <xf numFmtId="0" fontId="16" fillId="0" borderId="0" xfId="2" applyFont="1" applyFill="1" applyBorder="1" applyAlignment="1">
      <alignment vertical="center" wrapText="1"/>
    </xf>
    <xf numFmtId="0" fontId="13" fillId="0" borderId="0" xfId="2" applyFont="1" applyFill="1" applyBorder="1" applyAlignment="1">
      <alignment horizontal="left"/>
    </xf>
    <xf numFmtId="0" fontId="36" fillId="0" borderId="0" xfId="2" applyFont="1" applyFill="1" applyBorder="1" applyAlignment="1">
      <alignment horizontal="left"/>
    </xf>
    <xf numFmtId="0" fontId="37" fillId="0" borderId="0" xfId="2" applyFont="1" applyFill="1" applyBorder="1" applyAlignment="1">
      <alignment horizontal="center"/>
    </xf>
    <xf numFmtId="0" fontId="20" fillId="0" borderId="0" xfId="2" applyFont="1" applyFill="1" applyBorder="1"/>
    <xf numFmtId="3" fontId="12" fillId="0" borderId="9" xfId="4" applyNumberFormat="1" applyFont="1" applyFill="1" applyBorder="1" applyAlignment="1">
      <alignment horizontal="center" wrapText="1"/>
    </xf>
    <xf numFmtId="3" fontId="39" fillId="0" borderId="30" xfId="1" applyNumberFormat="1" applyFont="1" applyBorder="1" applyAlignment="1">
      <alignment horizontal="right" vertical="center" wrapText="1"/>
    </xf>
    <xf numFmtId="3" fontId="40" fillId="0" borderId="30" xfId="1" applyNumberFormat="1" applyFont="1" applyBorder="1" applyAlignment="1">
      <alignment horizontal="right" vertical="center" wrapText="1"/>
    </xf>
    <xf numFmtId="3" fontId="40" fillId="0" borderId="30" xfId="1" applyNumberFormat="1" applyFont="1" applyBorder="1" applyAlignment="1">
      <alignment horizontal="center" vertical="center" wrapText="1"/>
    </xf>
    <xf numFmtId="3" fontId="4" fillId="0" borderId="30" xfId="1" applyNumberFormat="1" applyFont="1" applyBorder="1" applyAlignment="1">
      <alignment vertical="top" wrapText="1"/>
    </xf>
    <xf numFmtId="3" fontId="41" fillId="0" borderId="9" xfId="3" applyNumberFormat="1" applyFont="1" applyFill="1" applyBorder="1" applyAlignment="1" applyProtection="1">
      <alignment horizontal="right" wrapText="1"/>
    </xf>
    <xf numFmtId="3" fontId="36" fillId="0" borderId="9" xfId="3" applyNumberFormat="1" applyFont="1" applyFill="1" applyBorder="1" applyAlignment="1" applyProtection="1">
      <alignment horizontal="right" wrapText="1"/>
    </xf>
    <xf numFmtId="3" fontId="40" fillId="0" borderId="30" xfId="1" applyNumberFormat="1" applyFont="1" applyBorder="1" applyAlignment="1">
      <alignment horizontal="right" wrapText="1"/>
    </xf>
    <xf numFmtId="3" fontId="41" fillId="0" borderId="9" xfId="2" applyNumberFormat="1" applyFont="1" applyFill="1" applyBorder="1" applyAlignment="1">
      <alignment horizontal="right"/>
    </xf>
    <xf numFmtId="3" fontId="36" fillId="0" borderId="9" xfId="2" applyNumberFormat="1" applyFont="1" applyFill="1" applyBorder="1" applyAlignment="1">
      <alignment horizontal="right"/>
    </xf>
    <xf numFmtId="3" fontId="4" fillId="0" borderId="30" xfId="1" applyNumberFormat="1" applyFont="1" applyBorder="1" applyAlignment="1">
      <alignment horizontal="right" wrapText="1"/>
    </xf>
    <xf numFmtId="3" fontId="42" fillId="0" borderId="30" xfId="1" applyNumberFormat="1" applyFont="1" applyBorder="1" applyAlignment="1">
      <alignment horizontal="right" vertical="center" wrapText="1"/>
    </xf>
    <xf numFmtId="3" fontId="43" fillId="0" borderId="30" xfId="1" applyNumberFormat="1" applyFont="1" applyBorder="1" applyAlignment="1">
      <alignment horizontal="right" vertical="center" wrapText="1"/>
    </xf>
    <xf numFmtId="0" fontId="44" fillId="0" borderId="30" xfId="1" applyFont="1" applyBorder="1" applyAlignment="1">
      <alignment vertical="top" wrapText="1"/>
    </xf>
    <xf numFmtId="0" fontId="4" fillId="0" borderId="0" xfId="1" applyFont="1"/>
    <xf numFmtId="3" fontId="43" fillId="0" borderId="30" xfId="1" applyNumberFormat="1" applyFont="1" applyBorder="1" applyAlignment="1">
      <alignment horizontal="right" wrapText="1"/>
    </xf>
    <xf numFmtId="3" fontId="43" fillId="0" borderId="30" xfId="1" applyNumberFormat="1" applyFont="1" applyBorder="1" applyAlignment="1">
      <alignment horizontal="center" vertical="center" wrapText="1"/>
    </xf>
    <xf numFmtId="3" fontId="5" fillId="0" borderId="30" xfId="1" applyNumberFormat="1" applyFont="1" applyBorder="1" applyAlignment="1">
      <alignment horizontal="right" wrapText="1"/>
    </xf>
    <xf numFmtId="0" fontId="36" fillId="0" borderId="15" xfId="2" applyFont="1" applyFill="1" applyBorder="1" applyAlignment="1">
      <alignment horizontal="left" wrapText="1"/>
    </xf>
    <xf numFmtId="0" fontId="36" fillId="0" borderId="16" xfId="2" applyFont="1" applyFill="1" applyBorder="1" applyAlignment="1">
      <alignment horizontal="left"/>
    </xf>
    <xf numFmtId="0" fontId="36" fillId="0" borderId="16" xfId="2" applyFont="1" applyFill="1" applyBorder="1" applyAlignment="1">
      <alignment horizontal="left" wrapText="1"/>
    </xf>
    <xf numFmtId="0" fontId="36" fillId="0" borderId="16" xfId="3" applyNumberFormat="1" applyFont="1" applyFill="1" applyBorder="1" applyAlignment="1" applyProtection="1">
      <alignment vertical="center" wrapText="1"/>
    </xf>
    <xf numFmtId="0" fontId="36" fillId="0" borderId="15" xfId="3" applyNumberFormat="1" applyFont="1" applyFill="1" applyBorder="1" applyAlignment="1" applyProtection="1">
      <alignment horizontal="left" vertical="center" wrapText="1"/>
    </xf>
    <xf numFmtId="0" fontId="36" fillId="0" borderId="9" xfId="2" applyFont="1" applyFill="1" applyBorder="1" applyAlignment="1">
      <alignment horizontal="left" wrapText="1"/>
    </xf>
    <xf numFmtId="49" fontId="36" fillId="0" borderId="9" xfId="2" applyNumberFormat="1" applyFont="1" applyFill="1" applyBorder="1" applyAlignment="1">
      <alignment horizontal="center"/>
    </xf>
    <xf numFmtId="0" fontId="36" fillId="0" borderId="9" xfId="2" applyFont="1" applyFill="1" applyBorder="1" applyAlignment="1">
      <alignment horizontal="center"/>
    </xf>
    <xf numFmtId="0" fontId="40" fillId="0" borderId="30" xfId="1" applyFont="1" applyBorder="1" applyAlignment="1">
      <alignment horizontal="center" vertical="center" wrapText="1"/>
    </xf>
    <xf numFmtId="0" fontId="43" fillId="0" borderId="30" xfId="1" applyFont="1" applyBorder="1" applyAlignment="1">
      <alignment horizontal="center" vertical="center" wrapText="1"/>
    </xf>
    <xf numFmtId="16" fontId="40" fillId="0" borderId="30" xfId="1" applyNumberFormat="1" applyFont="1" applyBorder="1" applyAlignment="1">
      <alignment horizontal="center" vertical="center" wrapText="1"/>
    </xf>
    <xf numFmtId="14" fontId="40" fillId="0" borderId="30" xfId="1" applyNumberFormat="1" applyFont="1" applyBorder="1" applyAlignment="1">
      <alignment horizontal="center" vertical="center" wrapText="1"/>
    </xf>
    <xf numFmtId="0" fontId="13" fillId="0" borderId="15" xfId="3" applyNumberFormat="1" applyFont="1" applyFill="1" applyBorder="1" applyAlignment="1" applyProtection="1">
      <alignment horizontal="center" vertical="center" wrapText="1"/>
    </xf>
    <xf numFmtId="0" fontId="13" fillId="0" borderId="16" xfId="3" applyNumberFormat="1" applyFont="1" applyFill="1" applyBorder="1" applyAlignment="1" applyProtection="1">
      <alignment horizontal="center" vertical="center" wrapText="1"/>
    </xf>
    <xf numFmtId="0" fontId="13" fillId="0" borderId="17" xfId="3" applyNumberFormat="1" applyFont="1" applyFill="1" applyBorder="1" applyAlignment="1" applyProtection="1">
      <alignment horizontal="center" vertical="center" wrapText="1"/>
    </xf>
    <xf numFmtId="3" fontId="41" fillId="0" borderId="16" xfId="3" applyNumberFormat="1" applyFont="1" applyFill="1" applyBorder="1" applyAlignment="1" applyProtection="1">
      <alignment horizontal="right" vertical="center" wrapText="1"/>
    </xf>
    <xf numFmtId="0" fontId="39" fillId="0" borderId="0" xfId="1" applyFont="1" applyAlignment="1">
      <alignment horizontal="left" vertical="center" wrapText="1"/>
    </xf>
    <xf numFmtId="0" fontId="23" fillId="0" borderId="30" xfId="1" applyFont="1" applyBorder="1" applyAlignment="1">
      <alignment vertical="top" wrapText="1"/>
    </xf>
    <xf numFmtId="0" fontId="13" fillId="0" borderId="9" xfId="3" applyNumberFormat="1" applyFont="1" applyFill="1" applyBorder="1" applyAlignment="1" applyProtection="1">
      <alignment horizontal="center" vertical="center" wrapText="1"/>
    </xf>
    <xf numFmtId="3" fontId="36" fillId="0" borderId="9" xfId="3" applyNumberFormat="1" applyFont="1" applyFill="1" applyBorder="1" applyAlignment="1" applyProtection="1">
      <alignment horizontal="right" vertical="center" wrapText="1"/>
    </xf>
    <xf numFmtId="0" fontId="36" fillId="0" borderId="9" xfId="2" applyFont="1" applyFill="1" applyBorder="1" applyAlignment="1">
      <alignment horizontal="left"/>
    </xf>
    <xf numFmtId="0" fontId="36" fillId="0" borderId="9" xfId="3" applyNumberFormat="1" applyFont="1" applyFill="1" applyBorder="1" applyAlignment="1" applyProtection="1">
      <alignment horizontal="left" vertical="center" wrapText="1"/>
    </xf>
    <xf numFmtId="3" fontId="23" fillId="0" borderId="30" xfId="1" applyNumberFormat="1" applyFont="1" applyBorder="1" applyAlignment="1">
      <alignment vertical="top" wrapText="1"/>
    </xf>
    <xf numFmtId="166" fontId="4" fillId="0" borderId="0" xfId="1" applyNumberFormat="1"/>
    <xf numFmtId="3" fontId="40" fillId="0" borderId="30" xfId="1" applyNumberFormat="1" applyFont="1" applyBorder="1" applyAlignment="1">
      <alignment vertical="top" wrapText="1"/>
    </xf>
    <xf numFmtId="0" fontId="40" fillId="0" borderId="30" xfId="1" applyFont="1" applyBorder="1" applyAlignment="1">
      <alignment vertical="top" wrapText="1"/>
    </xf>
    <xf numFmtId="3" fontId="41" fillId="0" borderId="16" xfId="3" applyNumberFormat="1" applyFont="1" applyFill="1" applyBorder="1" applyAlignment="1" applyProtection="1">
      <alignment vertical="center" wrapText="1"/>
    </xf>
    <xf numFmtId="16" fontId="13" fillId="0" borderId="9" xfId="2" applyNumberFormat="1" applyFont="1" applyFill="1" applyBorder="1" applyAlignment="1"/>
    <xf numFmtId="14" fontId="13" fillId="0" borderId="9" xfId="2" applyNumberFormat="1" applyFont="1" applyFill="1" applyBorder="1" applyAlignment="1"/>
    <xf numFmtId="3" fontId="13" fillId="0" borderId="9" xfId="4" applyNumberFormat="1" applyFont="1" applyFill="1" applyBorder="1" applyAlignment="1">
      <alignment wrapText="1"/>
    </xf>
    <xf numFmtId="14" fontId="13" fillId="0" borderId="9" xfId="2" applyNumberFormat="1" applyFont="1" applyFill="1" applyBorder="1" applyAlignment="1">
      <alignment vertical="center" wrapText="1"/>
    </xf>
    <xf numFmtId="3" fontId="13" fillId="0" borderId="0" xfId="4" applyNumberFormat="1" applyFont="1" applyFill="1" applyBorder="1" applyAlignment="1">
      <alignment wrapText="1"/>
    </xf>
    <xf numFmtId="3" fontId="11" fillId="0" borderId="0" xfId="4" applyNumberFormat="1" applyFont="1" applyFill="1" applyBorder="1" applyAlignment="1">
      <alignment wrapText="1"/>
    </xf>
    <xf numFmtId="0" fontId="18" fillId="0" borderId="9" xfId="2" applyFont="1" applyFill="1" applyBorder="1" applyAlignment="1">
      <alignment wrapText="1"/>
    </xf>
    <xf numFmtId="0" fontId="18" fillId="0" borderId="9" xfId="3" applyFont="1" applyFill="1" applyBorder="1" applyAlignment="1" applyProtection="1">
      <alignment wrapText="1"/>
      <protection locked="0"/>
    </xf>
    <xf numFmtId="0" fontId="18" fillId="0" borderId="9" xfId="2" applyFont="1" applyFill="1" applyBorder="1" applyAlignment="1">
      <alignment vertical="center"/>
    </xf>
    <xf numFmtId="0" fontId="13" fillId="0" borderId="9" xfId="2" applyFont="1" applyFill="1" applyBorder="1" applyAlignment="1">
      <alignment vertical="center" wrapText="1"/>
    </xf>
    <xf numFmtId="165" fontId="13" fillId="0" borderId="9" xfId="7" applyFont="1" applyFill="1" applyBorder="1" applyAlignment="1"/>
    <xf numFmtId="0" fontId="13" fillId="0" borderId="12" xfId="2" applyFont="1" applyFill="1" applyBorder="1" applyAlignment="1"/>
    <xf numFmtId="3" fontId="41" fillId="0" borderId="9" xfId="2" applyNumberFormat="1" applyFont="1" applyFill="1" applyBorder="1" applyAlignment="1"/>
    <xf numFmtId="3" fontId="18" fillId="0" borderId="9" xfId="2" applyNumberFormat="1" applyFont="1" applyFill="1" applyBorder="1" applyAlignment="1"/>
    <xf numFmtId="0" fontId="23" fillId="0" borderId="30" xfId="1" applyFont="1" applyBorder="1" applyAlignment="1">
      <alignment vertical="center" wrapText="1"/>
    </xf>
    <xf numFmtId="0" fontId="4" fillId="0" borderId="0" xfId="1" applyAlignment="1"/>
    <xf numFmtId="167" fontId="0" fillId="0" borderId="0" xfId="0" applyNumberFormat="1"/>
    <xf numFmtId="168" fontId="0" fillId="0" borderId="0" xfId="0" applyNumberFormat="1"/>
    <xf numFmtId="0" fontId="49" fillId="0" borderId="0" xfId="0" applyFont="1"/>
    <xf numFmtId="0" fontId="50" fillId="0" borderId="0" xfId="0" applyFont="1"/>
    <xf numFmtId="167" fontId="51" fillId="0" borderId="0" xfId="0" applyNumberFormat="1" applyFont="1"/>
    <xf numFmtId="167" fontId="50" fillId="0" borderId="0" xfId="0" applyNumberFormat="1" applyFont="1"/>
    <xf numFmtId="0" fontId="52" fillId="0" borderId="0" xfId="0" applyFont="1"/>
    <xf numFmtId="0" fontId="0" fillId="5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3" fillId="0" borderId="0" xfId="0" applyFont="1"/>
    <xf numFmtId="2" fontId="54" fillId="0" borderId="0" xfId="0" applyNumberFormat="1" applyFont="1"/>
    <xf numFmtId="0" fontId="55" fillId="0" borderId="0" xfId="0" applyFont="1"/>
    <xf numFmtId="0" fontId="54" fillId="0" borderId="0" xfId="0" applyFont="1" applyAlignment="1">
      <alignment horizontal="right"/>
    </xf>
    <xf numFmtId="0" fontId="54" fillId="0" borderId="0" xfId="0" applyFont="1" applyAlignment="1">
      <alignment horizontal="left"/>
    </xf>
    <xf numFmtId="4" fontId="47" fillId="0" borderId="0" xfId="0" applyNumberFormat="1" applyFont="1"/>
    <xf numFmtId="2" fontId="45" fillId="0" borderId="0" xfId="0" applyNumberFormat="1" applyFont="1"/>
    <xf numFmtId="0" fontId="45" fillId="0" borderId="26" xfId="0" applyFont="1" applyBorder="1" applyAlignment="1">
      <alignment horizontal="right"/>
    </xf>
    <xf numFmtId="167" fontId="45" fillId="0" borderId="26" xfId="0" applyNumberFormat="1" applyFont="1" applyBorder="1"/>
    <xf numFmtId="0" fontId="45" fillId="0" borderId="26" xfId="0" applyFont="1" applyBorder="1"/>
    <xf numFmtId="0" fontId="48" fillId="0" borderId="0" xfId="0" applyFont="1"/>
    <xf numFmtId="0" fontId="56" fillId="0" borderId="0" xfId="0" applyFont="1" applyAlignment="1">
      <alignment horizontal="center" vertical="center" readingOrder="1"/>
    </xf>
    <xf numFmtId="0" fontId="57" fillId="5" borderId="0" xfId="0" applyFont="1" applyFill="1" applyAlignment="1">
      <alignment horizontal="right"/>
    </xf>
    <xf numFmtId="0" fontId="39" fillId="0" borderId="0" xfId="1" applyFont="1" applyAlignment="1">
      <alignment vertical="center" wrapText="1"/>
    </xf>
    <xf numFmtId="3" fontId="61" fillId="0" borderId="30" xfId="1" applyNumberFormat="1" applyFont="1" applyBorder="1" applyAlignment="1">
      <alignment vertical="top" wrapText="1"/>
    </xf>
    <xf numFmtId="3" fontId="62" fillId="0" borderId="30" xfId="1" applyNumberFormat="1" applyFont="1" applyBorder="1" applyAlignment="1">
      <alignment vertical="top" wrapText="1"/>
    </xf>
    <xf numFmtId="0" fontId="63" fillId="0" borderId="30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left" vertical="center" wrapText="1"/>
    </xf>
    <xf numFmtId="3" fontId="43" fillId="0" borderId="30" xfId="1" applyNumberFormat="1" applyFont="1" applyBorder="1" applyAlignment="1">
      <alignment vertical="top" wrapText="1"/>
    </xf>
    <xf numFmtId="0" fontId="39" fillId="0" borderId="0" xfId="0" applyFont="1"/>
    <xf numFmtId="0" fontId="39" fillId="0" borderId="34" xfId="0" applyFont="1" applyBorder="1"/>
    <xf numFmtId="0" fontId="39" fillId="0" borderId="34" xfId="0" applyFont="1" applyBorder="1" applyAlignment="1">
      <alignment wrapText="1"/>
    </xf>
    <xf numFmtId="0" fontId="39" fillId="4" borderId="34" xfId="0" applyFont="1" applyFill="1" applyBorder="1"/>
    <xf numFmtId="0" fontId="42" fillId="4" borderId="34" xfId="0" applyFont="1" applyFill="1" applyBorder="1"/>
    <xf numFmtId="0" fontId="42" fillId="0" borderId="34" xfId="0" applyFont="1" applyBorder="1"/>
    <xf numFmtId="3" fontId="39" fillId="0" borderId="34" xfId="0" applyNumberFormat="1" applyFont="1" applyBorder="1"/>
    <xf numFmtId="3" fontId="39" fillId="4" borderId="34" xfId="0" applyNumberFormat="1" applyFont="1" applyFill="1" applyBorder="1"/>
    <xf numFmtId="3" fontId="42" fillId="4" borderId="34" xfId="0" applyNumberFormat="1" applyFont="1" applyFill="1" applyBorder="1"/>
    <xf numFmtId="3" fontId="42" fillId="0" borderId="34" xfId="0" applyNumberFormat="1" applyFont="1" applyBorder="1"/>
    <xf numFmtId="3" fontId="39" fillId="0" borderId="0" xfId="0" applyNumberFormat="1" applyFont="1"/>
    <xf numFmtId="3" fontId="41" fillId="4" borderId="34" xfId="0" applyNumberFormat="1" applyFont="1" applyFill="1" applyBorder="1"/>
    <xf numFmtId="0" fontId="66" fillId="0" borderId="34" xfId="0" applyFont="1" applyBorder="1" applyAlignment="1">
      <alignment horizontal="center" vertical="center" wrapText="1"/>
    </xf>
    <xf numFmtId="0" fontId="42" fillId="0" borderId="34" xfId="0" applyFont="1" applyBorder="1" applyAlignment="1">
      <alignment wrapText="1"/>
    </xf>
    <xf numFmtId="0" fontId="65" fillId="0" borderId="34" xfId="0" applyFont="1" applyBorder="1" applyAlignment="1">
      <alignment horizontal="center" vertical="center"/>
    </xf>
    <xf numFmtId="0" fontId="65" fillId="4" borderId="34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49" fontId="65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left" wrapText="1" indent="2"/>
    </xf>
    <xf numFmtId="3" fontId="36" fillId="0" borderId="34" xfId="0" applyNumberFormat="1" applyFont="1" applyBorder="1"/>
    <xf numFmtId="3" fontId="68" fillId="0" borderId="34" xfId="0" applyNumberFormat="1" applyFont="1" applyBorder="1"/>
    <xf numFmtId="0" fontId="39" fillId="5" borderId="34" xfId="0" applyFont="1" applyFill="1" applyBorder="1"/>
    <xf numFmtId="0" fontId="39" fillId="0" borderId="36" xfId="0" applyFont="1" applyBorder="1"/>
    <xf numFmtId="0" fontId="7" fillId="0" borderId="0" xfId="0" applyFont="1" applyBorder="1" applyAlignment="1">
      <alignment horizontal="center"/>
    </xf>
    <xf numFmtId="0" fontId="66" fillId="0" borderId="0" xfId="0" applyFont="1" applyBorder="1" applyAlignment="1">
      <alignment horizontal="center" vertical="center" wrapText="1"/>
    </xf>
    <xf numFmtId="49" fontId="65" fillId="0" borderId="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62" fillId="0" borderId="0" xfId="0" applyFont="1" applyBorder="1" applyAlignment="1">
      <alignment horizontal="center" wrapText="1"/>
    </xf>
    <xf numFmtId="0" fontId="39" fillId="0" borderId="0" xfId="0" applyFont="1" applyBorder="1"/>
    <xf numFmtId="3" fontId="68" fillId="0" borderId="0" xfId="0" applyNumberFormat="1" applyFont="1" applyBorder="1"/>
    <xf numFmtId="3" fontId="41" fillId="0" borderId="34" xfId="0" applyNumberFormat="1" applyFont="1" applyBorder="1"/>
    <xf numFmtId="3" fontId="68" fillId="0" borderId="0" xfId="0" applyNumberFormat="1" applyFont="1" applyFill="1" applyBorder="1"/>
    <xf numFmtId="3" fontId="39" fillId="0" borderId="0" xfId="0" applyNumberFormat="1" applyFont="1" applyFill="1" applyBorder="1"/>
    <xf numFmtId="0" fontId="69" fillId="0" borderId="0" xfId="0" applyFont="1" applyFill="1" applyBorder="1" applyAlignment="1">
      <alignment horizontal="center"/>
    </xf>
    <xf numFmtId="0" fontId="50" fillId="0" borderId="0" xfId="0" applyFont="1" applyAlignment="1">
      <alignment wrapText="1"/>
    </xf>
    <xf numFmtId="0" fontId="6" fillId="0" borderId="3" xfId="1" applyFont="1" applyBorder="1" applyAlignment="1">
      <alignment horizontal="justify" vertical="center" wrapText="1"/>
    </xf>
    <xf numFmtId="0" fontId="71" fillId="0" borderId="0" xfId="1" applyFont="1"/>
    <xf numFmtId="0" fontId="4" fillId="0" borderId="9" xfId="1" applyBorder="1"/>
    <xf numFmtId="3" fontId="4" fillId="0" borderId="9" xfId="1" applyNumberFormat="1" applyBorder="1"/>
    <xf numFmtId="0" fontId="4" fillId="0" borderId="10" xfId="1" applyBorder="1"/>
    <xf numFmtId="0" fontId="3" fillId="0" borderId="8" xfId="1" applyFont="1" applyBorder="1" applyAlignment="1">
      <alignment horizontal="left" indent="2"/>
    </xf>
    <xf numFmtId="3" fontId="4" fillId="0" borderId="10" xfId="1" applyNumberFormat="1" applyBorder="1"/>
    <xf numFmtId="3" fontId="4" fillId="0" borderId="40" xfId="1" applyNumberFormat="1" applyBorder="1"/>
    <xf numFmtId="0" fontId="4" fillId="0" borderId="40" xfId="1" applyBorder="1"/>
    <xf numFmtId="3" fontId="4" fillId="0" borderId="41" xfId="1" applyNumberFormat="1" applyBorder="1"/>
    <xf numFmtId="0" fontId="3" fillId="0" borderId="11" xfId="1" applyFont="1" applyBorder="1" applyAlignment="1">
      <alignment horizontal="left" indent="2"/>
    </xf>
    <xf numFmtId="3" fontId="4" fillId="0" borderId="12" xfId="1" applyNumberFormat="1" applyBorder="1"/>
    <xf numFmtId="0" fontId="4" fillId="0" borderId="12" xfId="1" applyBorder="1"/>
    <xf numFmtId="0" fontId="4" fillId="0" borderId="13" xfId="1" applyBorder="1"/>
    <xf numFmtId="0" fontId="5" fillId="0" borderId="42" xfId="1" applyFont="1" applyBorder="1"/>
    <xf numFmtId="3" fontId="5" fillId="0" borderId="43" xfId="1" applyNumberFormat="1" applyFont="1" applyBorder="1"/>
    <xf numFmtId="0" fontId="5" fillId="0" borderId="43" xfId="1" applyFont="1" applyBorder="1"/>
    <xf numFmtId="3" fontId="5" fillId="0" borderId="44" xfId="1" applyNumberFormat="1" applyFont="1" applyBorder="1"/>
    <xf numFmtId="0" fontId="5" fillId="0" borderId="5" xfId="1" applyFont="1" applyBorder="1"/>
    <xf numFmtId="3" fontId="4" fillId="0" borderId="6" xfId="1" applyNumberFormat="1" applyBorder="1"/>
    <xf numFmtId="0" fontId="4" fillId="0" borderId="6" xfId="1" applyBorder="1"/>
    <xf numFmtId="3" fontId="4" fillId="0" borderId="7" xfId="1" applyNumberFormat="1" applyBorder="1"/>
    <xf numFmtId="0" fontId="3" fillId="0" borderId="39" xfId="1" applyFont="1" applyBorder="1" applyAlignment="1">
      <alignment horizontal="left" indent="2"/>
    </xf>
    <xf numFmtId="0" fontId="4" fillId="0" borderId="41" xfId="1" applyBorder="1"/>
    <xf numFmtId="0" fontId="5" fillId="0" borderId="45" xfId="1" applyFont="1" applyBorder="1"/>
    <xf numFmtId="0" fontId="4" fillId="0" borderId="24" xfId="1" applyBorder="1"/>
    <xf numFmtId="0" fontId="4" fillId="0" borderId="46" xfId="1" applyBorder="1"/>
    <xf numFmtId="0" fontId="4" fillId="0" borderId="7" xfId="1" applyBorder="1"/>
    <xf numFmtId="0" fontId="4" fillId="0" borderId="47" xfId="1" applyBorder="1"/>
    <xf numFmtId="0" fontId="8" fillId="0" borderId="48" xfId="1" applyFont="1" applyBorder="1" applyAlignment="1">
      <alignment horizontal="center"/>
    </xf>
    <xf numFmtId="0" fontId="8" fillId="0" borderId="49" xfId="1" applyFont="1" applyBorder="1" applyAlignment="1">
      <alignment horizontal="center"/>
    </xf>
    <xf numFmtId="0" fontId="23" fillId="0" borderId="0" xfId="1" applyFont="1" applyAlignment="1">
      <alignment horizontal="center" vertical="center" wrapText="1"/>
    </xf>
    <xf numFmtId="0" fontId="39" fillId="0" borderId="0" xfId="1" applyFont="1" applyBorder="1" applyAlignment="1">
      <alignment horizontal="center" vertical="center" wrapText="1"/>
    </xf>
    <xf numFmtId="0" fontId="39" fillId="0" borderId="0" xfId="1" applyFont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8" fillId="0" borderId="0" xfId="1" applyFont="1"/>
    <xf numFmtId="0" fontId="5" fillId="0" borderId="50" xfId="1" applyFont="1" applyBorder="1"/>
    <xf numFmtId="0" fontId="2" fillId="0" borderId="8" xfId="1" applyFont="1" applyBorder="1"/>
    <xf numFmtId="0" fontId="2" fillId="0" borderId="39" xfId="1" applyFont="1" applyBorder="1" applyAlignment="1">
      <alignment horizontal="left" indent="2"/>
    </xf>
    <xf numFmtId="0" fontId="2" fillId="0" borderId="39" xfId="1" applyFont="1" applyBorder="1" applyAlignment="1"/>
    <xf numFmtId="0" fontId="2" fillId="0" borderId="47" xfId="1" applyFont="1" applyBorder="1"/>
    <xf numFmtId="3" fontId="8" fillId="0" borderId="9" xfId="1" applyNumberFormat="1" applyFont="1" applyBorder="1" applyAlignment="1">
      <alignment horizontal="right"/>
    </xf>
    <xf numFmtId="3" fontId="8" fillId="0" borderId="10" xfId="1" applyNumberFormat="1" applyFont="1" applyBorder="1" applyAlignment="1">
      <alignment horizontal="right"/>
    </xf>
    <xf numFmtId="3" fontId="4" fillId="0" borderId="40" xfId="1" applyNumberFormat="1" applyBorder="1" applyAlignment="1">
      <alignment horizontal="right"/>
    </xf>
    <xf numFmtId="3" fontId="4" fillId="0" borderId="41" xfId="1" applyNumberFormat="1" applyBorder="1" applyAlignment="1">
      <alignment horizontal="right"/>
    </xf>
    <xf numFmtId="3" fontId="5" fillId="0" borderId="51" xfId="1" applyNumberFormat="1" applyFont="1" applyBorder="1" applyAlignment="1">
      <alignment horizontal="right"/>
    </xf>
    <xf numFmtId="3" fontId="5" fillId="0" borderId="52" xfId="1" applyNumberFormat="1" applyFont="1" applyBorder="1" applyAlignment="1">
      <alignment horizontal="right"/>
    </xf>
    <xf numFmtId="0" fontId="2" fillId="0" borderId="0" xfId="1" applyFont="1"/>
    <xf numFmtId="3" fontId="5" fillId="0" borderId="40" xfId="1" applyNumberFormat="1" applyFont="1" applyBorder="1" applyAlignment="1">
      <alignment horizontal="right"/>
    </xf>
    <xf numFmtId="3" fontId="4" fillId="0" borderId="13" xfId="1" applyNumberFormat="1" applyBorder="1"/>
    <xf numFmtId="3" fontId="4" fillId="0" borderId="21" xfId="1" applyNumberFormat="1" applyBorder="1"/>
    <xf numFmtId="3" fontId="4" fillId="0" borderId="54" xfId="1" applyNumberFormat="1" applyBorder="1"/>
    <xf numFmtId="0" fontId="2" fillId="0" borderId="53" xfId="1" applyFont="1" applyBorder="1" applyAlignment="1">
      <alignment horizontal="left" indent="2"/>
    </xf>
    <xf numFmtId="0" fontId="5" fillId="0" borderId="53" xfId="1" applyFont="1" applyBorder="1" applyAlignment="1">
      <alignment horizontal="left" wrapText="1" indent="2"/>
    </xf>
    <xf numFmtId="3" fontId="5" fillId="0" borderId="21" xfId="1" applyNumberFormat="1" applyFont="1" applyBorder="1"/>
    <xf numFmtId="0" fontId="2" fillId="0" borderId="8" xfId="1" applyFont="1" applyBorder="1" applyAlignment="1">
      <alignment horizontal="left" indent="2"/>
    </xf>
    <xf numFmtId="3" fontId="41" fillId="0" borderId="36" xfId="0" applyNumberFormat="1" applyFont="1" applyBorder="1"/>
    <xf numFmtId="3" fontId="64" fillId="0" borderId="0" xfId="0" applyNumberFormat="1" applyFont="1" applyBorder="1"/>
    <xf numFmtId="3" fontId="72" fillId="0" borderId="34" xfId="0" applyNumberFormat="1" applyFont="1" applyBorder="1"/>
    <xf numFmtId="0" fontId="2" fillId="0" borderId="11" xfId="1" applyFont="1" applyBorder="1" applyAlignment="1">
      <alignment horizontal="left" indent="2"/>
    </xf>
    <xf numFmtId="3" fontId="5" fillId="0" borderId="9" xfId="1" applyNumberFormat="1" applyFont="1" applyBorder="1"/>
    <xf numFmtId="3" fontId="5" fillId="0" borderId="54" xfId="1" applyNumberFormat="1" applyFont="1" applyBorder="1"/>
    <xf numFmtId="0" fontId="5" fillId="0" borderId="8" xfId="1" applyFont="1" applyBorder="1" applyAlignment="1">
      <alignment horizontal="left" wrapText="1" indent="2"/>
    </xf>
    <xf numFmtId="3" fontId="5" fillId="0" borderId="10" xfId="1" applyNumberFormat="1" applyFont="1" applyBorder="1"/>
    <xf numFmtId="0" fontId="4" fillId="0" borderId="55" xfId="1" applyBorder="1"/>
    <xf numFmtId="0" fontId="4" fillId="0" borderId="56" xfId="1" applyBorder="1"/>
    <xf numFmtId="0" fontId="4" fillId="0" borderId="4" xfId="1" applyBorder="1"/>
    <xf numFmtId="0" fontId="5" fillId="0" borderId="11" xfId="1" applyFont="1" applyBorder="1" applyAlignment="1">
      <alignment horizontal="left" indent="2"/>
    </xf>
    <xf numFmtId="3" fontId="5" fillId="0" borderId="12" xfId="1" applyNumberFormat="1" applyFont="1" applyBorder="1"/>
    <xf numFmtId="0" fontId="5" fillId="0" borderId="12" xfId="1" applyFont="1" applyBorder="1"/>
    <xf numFmtId="0" fontId="5" fillId="0" borderId="13" xfId="1" applyFont="1" applyBorder="1"/>
    <xf numFmtId="0" fontId="5" fillId="0" borderId="39" xfId="1" applyFont="1" applyBorder="1" applyAlignment="1">
      <alignment horizontal="left" indent="2"/>
    </xf>
    <xf numFmtId="3" fontId="5" fillId="0" borderId="40" xfId="1" applyNumberFormat="1" applyFont="1" applyBorder="1"/>
    <xf numFmtId="0" fontId="5" fillId="0" borderId="40" xfId="1" applyFont="1" applyBorder="1"/>
    <xf numFmtId="0" fontId="5" fillId="0" borderId="57" xfId="1" applyFont="1" applyBorder="1"/>
    <xf numFmtId="3" fontId="5" fillId="0" borderId="58" xfId="1" applyNumberFormat="1" applyFont="1" applyBorder="1"/>
    <xf numFmtId="3" fontId="5" fillId="0" borderId="59" xfId="1" applyNumberFormat="1" applyFont="1" applyBorder="1"/>
    <xf numFmtId="0" fontId="65" fillId="5" borderId="34" xfId="0" applyFont="1" applyFill="1" applyBorder="1" applyAlignment="1">
      <alignment horizontal="center" vertical="center"/>
    </xf>
    <xf numFmtId="3" fontId="41" fillId="0" borderId="34" xfId="0" applyNumberFormat="1" applyFont="1" applyFill="1" applyBorder="1"/>
    <xf numFmtId="0" fontId="39" fillId="0" borderId="37" xfId="0" applyFont="1" applyBorder="1"/>
    <xf numFmtId="0" fontId="60" fillId="5" borderId="34" xfId="0" applyFont="1" applyFill="1" applyBorder="1" applyAlignment="1">
      <alignment horizontal="center" vertical="center" wrapText="1"/>
    </xf>
    <xf numFmtId="3" fontId="61" fillId="5" borderId="34" xfId="0" applyNumberFormat="1" applyFont="1" applyFill="1" applyBorder="1"/>
    <xf numFmtId="3" fontId="62" fillId="5" borderId="34" xfId="0" applyNumberFormat="1" applyFont="1" applyFill="1" applyBorder="1"/>
    <xf numFmtId="3" fontId="62" fillId="5" borderId="34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/>
    </xf>
    <xf numFmtId="0" fontId="8" fillId="0" borderId="48" xfId="1" applyFont="1" applyBorder="1" applyAlignment="1">
      <alignment horizontal="center" wrapText="1"/>
    </xf>
    <xf numFmtId="0" fontId="39" fillId="0" borderId="0" xfId="0" applyFont="1" applyAlignment="1">
      <alignment vertical="center"/>
    </xf>
    <xf numFmtId="169" fontId="61" fillId="0" borderId="0" xfId="0" applyNumberFormat="1" applyFont="1" applyAlignment="1">
      <alignment horizontal="center"/>
    </xf>
    <xf numFmtId="0" fontId="61" fillId="0" borderId="0" xfId="0" applyFont="1"/>
    <xf numFmtId="0" fontId="39" fillId="0" borderId="0" xfId="1" applyFont="1" applyBorder="1" applyAlignment="1">
      <alignment vertical="center" wrapText="1"/>
    </xf>
    <xf numFmtId="0" fontId="23" fillId="0" borderId="0" xfId="1" applyFont="1" applyAlignment="1">
      <alignment vertical="center" wrapText="1"/>
    </xf>
    <xf numFmtId="0" fontId="42" fillId="0" borderId="34" xfId="0" applyFont="1" applyBorder="1" applyAlignment="1">
      <alignment vertical="center" wrapText="1"/>
    </xf>
    <xf numFmtId="3" fontId="42" fillId="4" borderId="34" xfId="0" applyNumberFormat="1" applyFont="1" applyFill="1" applyBorder="1" applyAlignment="1">
      <alignment vertical="center"/>
    </xf>
    <xf numFmtId="0" fontId="39" fillId="0" borderId="19" xfId="1" applyFont="1" applyBorder="1" applyAlignment="1">
      <alignment vertical="center" wrapText="1"/>
    </xf>
    <xf numFmtId="0" fontId="39" fillId="0" borderId="20" xfId="0" applyFont="1" applyBorder="1"/>
    <xf numFmtId="3" fontId="39" fillId="0" borderId="20" xfId="0" applyNumberFormat="1" applyFont="1" applyBorder="1"/>
    <xf numFmtId="0" fontId="39" fillId="0" borderId="64" xfId="1" applyFont="1" applyBorder="1" applyAlignment="1">
      <alignment vertical="center" wrapText="1"/>
    </xf>
    <xf numFmtId="0" fontId="39" fillId="0" borderId="26" xfId="1" applyFont="1" applyBorder="1" applyAlignment="1">
      <alignment vertical="center" wrapText="1"/>
    </xf>
    <xf numFmtId="0" fontId="39" fillId="0" borderId="26" xfId="0" applyFont="1" applyBorder="1"/>
    <xf numFmtId="0" fontId="23" fillId="0" borderId="20" xfId="1" applyFont="1" applyBorder="1" applyAlignment="1">
      <alignment vertical="center" wrapText="1"/>
    </xf>
    <xf numFmtId="0" fontId="39" fillId="0" borderId="18" xfId="0" applyFont="1" applyBorder="1"/>
    <xf numFmtId="0" fontId="66" fillId="0" borderId="26" xfId="0" applyFont="1" applyBorder="1" applyAlignment="1">
      <alignment horizontal="center" wrapText="1"/>
    </xf>
    <xf numFmtId="3" fontId="39" fillId="0" borderId="26" xfId="0" applyNumberFormat="1" applyFont="1" applyBorder="1"/>
    <xf numFmtId="3" fontId="39" fillId="0" borderId="25" xfId="0" applyNumberFormat="1" applyFont="1" applyBorder="1"/>
    <xf numFmtId="0" fontId="73" fillId="0" borderId="34" xfId="0" applyFont="1" applyBorder="1" applyAlignment="1">
      <alignment horizontal="center" vertical="center" wrapText="1"/>
    </xf>
    <xf numFmtId="0" fontId="74" fillId="0" borderId="34" xfId="0" applyFont="1" applyBorder="1" applyAlignment="1">
      <alignment horizontal="center" vertical="center" wrapText="1"/>
    </xf>
    <xf numFmtId="0" fontId="59" fillId="0" borderId="0" xfId="1" applyFont="1" applyBorder="1" applyAlignment="1">
      <alignment horizontal="center" vertical="center" wrapText="1"/>
    </xf>
    <xf numFmtId="49" fontId="65" fillId="0" borderId="36" xfId="0" applyNumberFormat="1" applyFont="1" applyBorder="1" applyAlignment="1">
      <alignment horizontal="center" vertical="center"/>
    </xf>
    <xf numFmtId="0" fontId="60" fillId="5" borderId="38" xfId="0" applyFont="1" applyFill="1" applyBorder="1" applyAlignment="1">
      <alignment horizontal="center" vertical="center" wrapText="1"/>
    </xf>
    <xf numFmtId="49" fontId="65" fillId="0" borderId="38" xfId="0" applyNumberFormat="1" applyFont="1" applyBorder="1" applyAlignment="1">
      <alignment horizontal="center" vertical="center"/>
    </xf>
    <xf numFmtId="0" fontId="60" fillId="5" borderId="66" xfId="0" applyFont="1" applyFill="1" applyBorder="1" applyAlignment="1">
      <alignment horizontal="center" vertical="center" wrapText="1"/>
    </xf>
    <xf numFmtId="0" fontId="74" fillId="0" borderId="67" xfId="0" applyFont="1" applyBorder="1" applyAlignment="1">
      <alignment horizontal="center" vertical="center" wrapText="1"/>
    </xf>
    <xf numFmtId="49" fontId="65" fillId="0" borderId="66" xfId="0" applyNumberFormat="1" applyFont="1" applyBorder="1" applyAlignment="1">
      <alignment horizontal="center" vertical="center"/>
    </xf>
    <xf numFmtId="49" fontId="65" fillId="0" borderId="67" xfId="0" applyNumberFormat="1" applyFont="1" applyBorder="1" applyAlignment="1">
      <alignment horizontal="center" vertical="center"/>
    </xf>
    <xf numFmtId="0" fontId="74" fillId="0" borderId="36" xfId="0" applyFont="1" applyBorder="1" applyAlignment="1">
      <alignment horizontal="center" vertical="center" wrapText="1"/>
    </xf>
    <xf numFmtId="170" fontId="58" fillId="5" borderId="0" xfId="8" applyNumberFormat="1" applyFont="1" applyFill="1" applyAlignment="1">
      <alignment horizontal="left"/>
    </xf>
    <xf numFmtId="0" fontId="42" fillId="0" borderId="0" xfId="0" applyFont="1"/>
    <xf numFmtId="3" fontId="42" fillId="0" borderId="0" xfId="0" applyNumberFormat="1" applyFont="1"/>
    <xf numFmtId="169" fontId="78" fillId="0" borderId="0" xfId="0" applyNumberFormat="1" applyFont="1" applyAlignment="1">
      <alignment horizontal="center"/>
    </xf>
    <xf numFmtId="0" fontId="78" fillId="0" borderId="0" xfId="0" applyFont="1"/>
    <xf numFmtId="0" fontId="39" fillId="7" borderId="0" xfId="0" applyFont="1" applyFill="1" applyAlignment="1">
      <alignment horizontal="center" vertical="center"/>
    </xf>
    <xf numFmtId="0" fontId="39" fillId="7" borderId="0" xfId="0" applyFont="1" applyFill="1" applyAlignment="1">
      <alignment horizontal="center" vertical="center" wrapText="1"/>
    </xf>
    <xf numFmtId="0" fontId="61" fillId="7" borderId="0" xfId="0" applyFont="1" applyFill="1" applyAlignment="1">
      <alignment horizontal="center" vertical="center" wrapText="1"/>
    </xf>
    <xf numFmtId="0" fontId="42" fillId="7" borderId="0" xfId="0" applyFont="1" applyFill="1"/>
    <xf numFmtId="3" fontId="42" fillId="7" borderId="0" xfId="0" applyNumberFormat="1" applyFont="1" applyFill="1"/>
    <xf numFmtId="169" fontId="78" fillId="7" borderId="0" xfId="0" applyNumberFormat="1" applyFont="1" applyFill="1" applyAlignment="1">
      <alignment horizontal="center"/>
    </xf>
    <xf numFmtId="0" fontId="42" fillId="0" borderId="36" xfId="0" applyFont="1" applyBorder="1"/>
    <xf numFmtId="0" fontId="42" fillId="0" borderId="37" xfId="0" applyFont="1" applyBorder="1"/>
    <xf numFmtId="0" fontId="42" fillId="5" borderId="66" xfId="0" applyFont="1" applyFill="1" applyBorder="1"/>
    <xf numFmtId="0" fontId="42" fillId="0" borderId="65" xfId="0" applyFont="1" applyBorder="1"/>
    <xf numFmtId="0" fontId="42" fillId="5" borderId="38" xfId="0" applyFont="1" applyFill="1" applyBorder="1"/>
    <xf numFmtId="0" fontId="42" fillId="0" borderId="0" xfId="0" applyFont="1" applyBorder="1"/>
    <xf numFmtId="0" fontId="65" fillId="0" borderId="36" xfId="0" applyFont="1" applyBorder="1" applyAlignment="1">
      <alignment horizontal="center" vertical="center"/>
    </xf>
    <xf numFmtId="0" fontId="65" fillId="5" borderId="38" xfId="0" applyFont="1" applyFill="1" applyBorder="1" applyAlignment="1">
      <alignment horizontal="center" vertical="center"/>
    </xf>
    <xf numFmtId="0" fontId="42" fillId="0" borderId="36" xfId="0" applyFont="1" applyBorder="1" applyAlignment="1">
      <alignment wrapText="1"/>
    </xf>
    <xf numFmtId="0" fontId="39" fillId="0" borderId="36" xfId="0" applyFont="1" applyBorder="1" applyAlignment="1">
      <alignment horizontal="left" wrapText="1" indent="2"/>
    </xf>
    <xf numFmtId="0" fontId="39" fillId="0" borderId="36" xfId="0" applyFont="1" applyBorder="1" applyAlignment="1">
      <alignment wrapText="1"/>
    </xf>
    <xf numFmtId="0" fontId="42" fillId="0" borderId="36" xfId="0" applyFont="1" applyBorder="1" applyAlignment="1">
      <alignment vertical="center" wrapText="1"/>
    </xf>
    <xf numFmtId="0" fontId="65" fillId="5" borderId="73" xfId="0" applyFont="1" applyFill="1" applyBorder="1" applyAlignment="1">
      <alignment horizontal="center" vertical="center"/>
    </xf>
    <xf numFmtId="0" fontId="65" fillId="0" borderId="85" xfId="0" applyFont="1" applyBorder="1" applyAlignment="1">
      <alignment horizontal="center" vertical="center"/>
    </xf>
    <xf numFmtId="0" fontId="42" fillId="0" borderId="85" xfId="0" applyFont="1" applyBorder="1"/>
    <xf numFmtId="0" fontId="39" fillId="0" borderId="85" xfId="0" applyFont="1" applyBorder="1"/>
    <xf numFmtId="0" fontId="39" fillId="0" borderId="86" xfId="0" applyFont="1" applyBorder="1"/>
    <xf numFmtId="49" fontId="65" fillId="0" borderId="60" xfId="0" applyNumberFormat="1" applyFont="1" applyBorder="1" applyAlignment="1">
      <alignment horizontal="center" vertical="center"/>
    </xf>
    <xf numFmtId="49" fontId="65" fillId="0" borderId="74" xfId="0" applyNumberFormat="1" applyFont="1" applyBorder="1" applyAlignment="1">
      <alignment horizontal="center" vertical="center"/>
    </xf>
    <xf numFmtId="0" fontId="42" fillId="0" borderId="67" xfId="0" applyFont="1" applyBorder="1"/>
    <xf numFmtId="0" fontId="39" fillId="0" borderId="87" xfId="0" applyFont="1" applyBorder="1" applyAlignment="1">
      <alignment vertical="center" wrapText="1"/>
    </xf>
    <xf numFmtId="0" fontId="65" fillId="0" borderId="60" xfId="0" applyFont="1" applyFill="1" applyBorder="1" applyAlignment="1">
      <alignment horizontal="center" vertical="center"/>
    </xf>
    <xf numFmtId="0" fontId="65" fillId="0" borderId="74" xfId="0" applyFont="1" applyFill="1" applyBorder="1" applyAlignment="1">
      <alignment horizontal="center" vertical="center"/>
    </xf>
    <xf numFmtId="0" fontId="42" fillId="0" borderId="34" xfId="0" applyFont="1" applyFill="1" applyBorder="1"/>
    <xf numFmtId="0" fontId="42" fillId="0" borderId="67" xfId="0" applyFont="1" applyFill="1" applyBorder="1"/>
    <xf numFmtId="0" fontId="66" fillId="0" borderId="67" xfId="0" applyFont="1" applyBorder="1" applyAlignment="1">
      <alignment horizontal="center" vertical="center" wrapText="1"/>
    </xf>
    <xf numFmtId="0" fontId="68" fillId="0" borderId="0" xfId="1" applyFont="1" applyBorder="1" applyAlignment="1">
      <alignment vertical="center" wrapText="1"/>
    </xf>
    <xf numFmtId="0" fontId="42" fillId="0" borderId="95" xfId="0" applyFont="1" applyBorder="1"/>
    <xf numFmtId="0" fontId="42" fillId="0" borderId="96" xfId="0" applyFont="1" applyBorder="1" applyAlignment="1">
      <alignment wrapText="1"/>
    </xf>
    <xf numFmtId="0" fontId="77" fillId="0" borderId="97" xfId="0" applyFont="1" applyBorder="1"/>
    <xf numFmtId="0" fontId="77" fillId="0" borderId="98" xfId="0" applyFont="1" applyBorder="1" applyAlignment="1">
      <alignment wrapText="1"/>
    </xf>
    <xf numFmtId="0" fontId="39" fillId="0" borderId="85" xfId="0" applyFont="1" applyBorder="1" applyAlignment="1">
      <alignment horizontal="center" vertical="center"/>
    </xf>
    <xf numFmtId="3" fontId="39" fillId="0" borderId="0" xfId="0" applyNumberFormat="1" applyFont="1" applyFill="1" applyBorder="1" applyAlignment="1">
      <alignment vertical="center"/>
    </xf>
    <xf numFmtId="3" fontId="39" fillId="0" borderId="0" xfId="0" applyNumberFormat="1" applyFont="1" applyAlignment="1">
      <alignment vertical="center"/>
    </xf>
    <xf numFmtId="0" fontId="75" fillId="0" borderId="0" xfId="1" applyFont="1" applyBorder="1" applyAlignment="1">
      <alignment horizontal="center" vertical="center" wrapText="1"/>
    </xf>
    <xf numFmtId="0" fontId="66" fillId="0" borderId="36" xfId="0" applyFont="1" applyBorder="1" applyAlignment="1">
      <alignment horizontal="center" vertical="center" wrapText="1"/>
    </xf>
    <xf numFmtId="3" fontId="79" fillId="5" borderId="66" xfId="0" applyNumberFormat="1" applyFont="1" applyFill="1" applyBorder="1"/>
    <xf numFmtId="3" fontId="22" fillId="0" borderId="34" xfId="0" applyNumberFormat="1" applyFont="1" applyFill="1" applyBorder="1"/>
    <xf numFmtId="3" fontId="22" fillId="0" borderId="67" xfId="0" applyNumberFormat="1" applyFont="1" applyFill="1" applyBorder="1"/>
    <xf numFmtId="3" fontId="79" fillId="5" borderId="38" xfId="0" applyNumberFormat="1" applyFont="1" applyFill="1" applyBorder="1"/>
    <xf numFmtId="3" fontId="11" fillId="0" borderId="34" xfId="0" applyNumberFormat="1" applyFont="1" applyBorder="1"/>
    <xf numFmtId="3" fontId="80" fillId="0" borderId="36" xfId="0" applyNumberFormat="1" applyFont="1" applyBorder="1"/>
    <xf numFmtId="3" fontId="80" fillId="0" borderId="67" xfId="0" applyNumberFormat="1" applyFont="1" applyBorder="1"/>
    <xf numFmtId="3" fontId="11" fillId="0" borderId="36" xfId="0" applyNumberFormat="1" applyFont="1" applyBorder="1"/>
    <xf numFmtId="3" fontId="11" fillId="0" borderId="67" xfId="0" applyNumberFormat="1" applyFont="1" applyBorder="1"/>
    <xf numFmtId="3" fontId="81" fillId="5" borderId="66" xfId="0" applyNumberFormat="1" applyFont="1" applyFill="1" applyBorder="1"/>
    <xf numFmtId="3" fontId="77" fillId="0" borderId="34" xfId="0" applyNumberFormat="1" applyFont="1" applyFill="1" applyBorder="1"/>
    <xf numFmtId="3" fontId="77" fillId="0" borderId="67" xfId="0" applyNumberFormat="1" applyFont="1" applyFill="1" applyBorder="1"/>
    <xf numFmtId="3" fontId="81" fillId="5" borderId="38" xfId="0" applyNumberFormat="1" applyFont="1" applyFill="1" applyBorder="1"/>
    <xf numFmtId="3" fontId="12" fillId="0" borderId="34" xfId="0" applyNumberFormat="1" applyFont="1" applyBorder="1"/>
    <xf numFmtId="3" fontId="82" fillId="0" borderId="36" xfId="0" applyNumberFormat="1" applyFont="1" applyBorder="1"/>
    <xf numFmtId="3" fontId="82" fillId="0" borderId="67" xfId="0" applyNumberFormat="1" applyFont="1" applyBorder="1"/>
    <xf numFmtId="3" fontId="12" fillId="0" borderId="36" xfId="0" applyNumberFormat="1" applyFont="1" applyBorder="1"/>
    <xf numFmtId="3" fontId="12" fillId="0" borderId="67" xfId="0" applyNumberFormat="1" applyFont="1" applyBorder="1"/>
    <xf numFmtId="3" fontId="81" fillId="5" borderId="73" xfId="0" applyNumberFormat="1" applyFont="1" applyFill="1" applyBorder="1"/>
    <xf numFmtId="3" fontId="77" fillId="0" borderId="60" xfId="0" applyNumberFormat="1" applyFont="1" applyFill="1" applyBorder="1"/>
    <xf numFmtId="3" fontId="77" fillId="0" borderId="74" xfId="0" applyNumberFormat="1" applyFont="1" applyFill="1" applyBorder="1"/>
    <xf numFmtId="3" fontId="81" fillId="5" borderId="62" xfId="0" applyNumberFormat="1" applyFont="1" applyFill="1" applyBorder="1"/>
    <xf numFmtId="3" fontId="12" fillId="0" borderId="60" xfId="0" applyNumberFormat="1" applyFont="1" applyBorder="1"/>
    <xf numFmtId="3" fontId="82" fillId="0" borderId="96" xfId="0" applyNumberFormat="1" applyFont="1" applyBorder="1"/>
    <xf numFmtId="3" fontId="82" fillId="0" borderId="74" xfId="0" applyNumberFormat="1" applyFont="1" applyBorder="1"/>
    <xf numFmtId="3" fontId="12" fillId="0" borderId="96" xfId="0" applyNumberFormat="1" applyFont="1" applyBorder="1"/>
    <xf numFmtId="3" fontId="12" fillId="0" borderId="74" xfId="0" applyNumberFormat="1" applyFont="1" applyBorder="1"/>
    <xf numFmtId="3" fontId="81" fillId="5" borderId="99" xfId="0" applyNumberFormat="1" applyFont="1" applyFill="1" applyBorder="1"/>
    <xf numFmtId="3" fontId="77" fillId="0" borderId="100" xfId="0" applyNumberFormat="1" applyFont="1" applyFill="1" applyBorder="1"/>
    <xf numFmtId="3" fontId="77" fillId="0" borderId="101" xfId="0" applyNumberFormat="1" applyFont="1" applyFill="1" applyBorder="1"/>
    <xf numFmtId="3" fontId="81" fillId="5" borderId="102" xfId="0" applyNumberFormat="1" applyFont="1" applyFill="1" applyBorder="1"/>
    <xf numFmtId="3" fontId="12" fillId="0" borderId="100" xfId="0" applyNumberFormat="1" applyFont="1" applyBorder="1"/>
    <xf numFmtId="3" fontId="82" fillId="0" borderId="98" xfId="0" applyNumberFormat="1" applyFont="1" applyBorder="1"/>
    <xf numFmtId="3" fontId="82" fillId="0" borderId="101" xfId="0" applyNumberFormat="1" applyFont="1" applyBorder="1"/>
    <xf numFmtId="3" fontId="12" fillId="0" borderId="98" xfId="0" applyNumberFormat="1" applyFont="1" applyBorder="1"/>
    <xf numFmtId="3" fontId="12" fillId="0" borderId="101" xfId="0" applyNumberFormat="1" applyFont="1" applyBorder="1"/>
    <xf numFmtId="3" fontId="82" fillId="0" borderId="34" xfId="0" applyNumberFormat="1" applyFont="1" applyFill="1" applyBorder="1"/>
    <xf numFmtId="3" fontId="82" fillId="0" borderId="67" xfId="0" applyNumberFormat="1" applyFont="1" applyFill="1" applyBorder="1"/>
    <xf numFmtId="0" fontId="79" fillId="5" borderId="66" xfId="0" applyFont="1" applyFill="1" applyBorder="1" applyAlignment="1">
      <alignment vertical="center"/>
    </xf>
    <xf numFmtId="3" fontId="77" fillId="0" borderId="34" xfId="0" applyNumberFormat="1" applyFont="1" applyFill="1" applyBorder="1" applyAlignment="1">
      <alignment vertical="center"/>
    </xf>
    <xf numFmtId="3" fontId="77" fillId="0" borderId="67" xfId="0" applyNumberFormat="1" applyFont="1" applyFill="1" applyBorder="1" applyAlignment="1">
      <alignment vertical="center"/>
    </xf>
    <xf numFmtId="3" fontId="81" fillId="5" borderId="38" xfId="0" applyNumberFormat="1" applyFont="1" applyFill="1" applyBorder="1" applyAlignment="1">
      <alignment horizontal="center" vertical="center"/>
    </xf>
    <xf numFmtId="3" fontId="12" fillId="0" borderId="34" xfId="0" applyNumberFormat="1" applyFont="1" applyFill="1" applyBorder="1" applyAlignment="1">
      <alignment vertical="center"/>
    </xf>
    <xf numFmtId="3" fontId="11" fillId="0" borderId="36" xfId="0" applyNumberFormat="1" applyFont="1" applyBorder="1" applyAlignment="1">
      <alignment vertical="center"/>
    </xf>
    <xf numFmtId="3" fontId="81" fillId="5" borderId="66" xfId="0" applyNumberFormat="1" applyFont="1" applyFill="1" applyBorder="1" applyAlignment="1">
      <alignment horizontal="center" vertical="center"/>
    </xf>
    <xf numFmtId="3" fontId="12" fillId="0" borderId="67" xfId="0" applyNumberFormat="1" applyFont="1" applyFill="1" applyBorder="1" applyAlignment="1">
      <alignment vertical="center"/>
    </xf>
    <xf numFmtId="3" fontId="11" fillId="0" borderId="67" xfId="0" applyNumberFormat="1" applyFont="1" applyBorder="1" applyAlignment="1">
      <alignment vertical="center"/>
    </xf>
    <xf numFmtId="3" fontId="12" fillId="0" borderId="36" xfId="0" applyNumberFormat="1" applyFont="1" applyFill="1" applyBorder="1" applyAlignment="1">
      <alignment vertical="center"/>
    </xf>
    <xf numFmtId="3" fontId="22" fillId="0" borderId="88" xfId="0" applyNumberFormat="1" applyFont="1" applyFill="1" applyBorder="1" applyAlignment="1">
      <alignment horizontal="right" vertical="center"/>
    </xf>
    <xf numFmtId="0" fontId="22" fillId="0" borderId="89" xfId="0" applyFont="1" applyBorder="1"/>
    <xf numFmtId="3" fontId="22" fillId="0" borderId="89" xfId="0" applyNumberFormat="1" applyFont="1" applyBorder="1"/>
    <xf numFmtId="3" fontId="22" fillId="0" borderId="92" xfId="0" applyNumberFormat="1" applyFont="1" applyBorder="1"/>
    <xf numFmtId="3" fontId="22" fillId="0" borderId="94" xfId="0" applyNumberFormat="1" applyFont="1" applyBorder="1"/>
    <xf numFmtId="3" fontId="22" fillId="0" borderId="88" xfId="0" applyNumberFormat="1" applyFont="1" applyBorder="1"/>
    <xf numFmtId="3" fontId="22" fillId="0" borderId="90" xfId="0" applyNumberFormat="1" applyFont="1" applyBorder="1"/>
    <xf numFmtId="0" fontId="77" fillId="5" borderId="66" xfId="0" applyFont="1" applyFill="1" applyBorder="1"/>
    <xf numFmtId="0" fontId="77" fillId="0" borderId="34" xfId="0" applyFont="1" applyFill="1" applyBorder="1"/>
    <xf numFmtId="0" fontId="77" fillId="0" borderId="67" xfId="0" applyFont="1" applyFill="1" applyBorder="1"/>
    <xf numFmtId="0" fontId="77" fillId="5" borderId="38" xfId="0" applyFont="1" applyFill="1" applyBorder="1"/>
    <xf numFmtId="0" fontId="77" fillId="0" borderId="34" xfId="0" applyFont="1" applyBorder="1"/>
    <xf numFmtId="0" fontId="77" fillId="0" borderId="36" xfId="0" applyFont="1" applyBorder="1"/>
    <xf numFmtId="0" fontId="77" fillId="0" borderId="67" xfId="0" applyFont="1" applyBorder="1"/>
    <xf numFmtId="0" fontId="77" fillId="0" borderId="37" xfId="0" applyFont="1" applyBorder="1"/>
    <xf numFmtId="0" fontId="77" fillId="0" borderId="65" xfId="0" applyFont="1" applyBorder="1"/>
    <xf numFmtId="3" fontId="11" fillId="6" borderId="34" xfId="0" applyNumberFormat="1" applyFont="1" applyFill="1" applyBorder="1"/>
    <xf numFmtId="3" fontId="12" fillId="6" borderId="34" xfId="0" applyNumberFormat="1" applyFont="1" applyFill="1" applyBorder="1"/>
    <xf numFmtId="3" fontId="12" fillId="6" borderId="60" xfId="0" applyNumberFormat="1" applyFont="1" applyFill="1" applyBorder="1"/>
    <xf numFmtId="168" fontId="51" fillId="0" borderId="0" xfId="0" applyNumberFormat="1" applyFont="1"/>
    <xf numFmtId="171" fontId="0" fillId="0" borderId="0" xfId="0" applyNumberFormat="1"/>
    <xf numFmtId="0" fontId="49" fillId="0" borderId="0" xfId="0" applyFont="1" applyFill="1"/>
    <xf numFmtId="166" fontId="49" fillId="0" borderId="0" xfId="0" applyNumberFormat="1" applyFont="1" applyFill="1"/>
    <xf numFmtId="0" fontId="85" fillId="0" borderId="0" xfId="0" applyFont="1" applyAlignment="1">
      <alignment horizontal="right"/>
    </xf>
    <xf numFmtId="0" fontId="86" fillId="0" borderId="0" xfId="0" applyFont="1"/>
    <xf numFmtId="2" fontId="0" fillId="0" borderId="0" xfId="0" applyNumberFormat="1"/>
    <xf numFmtId="4" fontId="0" fillId="0" borderId="0" xfId="0" applyNumberFormat="1"/>
    <xf numFmtId="9" fontId="54" fillId="0" borderId="0" xfId="8" applyFont="1" applyAlignment="1">
      <alignment horizontal="left"/>
    </xf>
    <xf numFmtId="0" fontId="52" fillId="0" borderId="0" xfId="0" applyFont="1" applyAlignment="1">
      <alignment wrapText="1"/>
    </xf>
    <xf numFmtId="170" fontId="0" fillId="7" borderId="0" xfId="8" applyNumberFormat="1" applyFont="1" applyFill="1"/>
    <xf numFmtId="0" fontId="4" fillId="0" borderId="43" xfId="1" applyBorder="1"/>
    <xf numFmtId="3" fontId="4" fillId="0" borderId="43" xfId="1" applyNumberFormat="1" applyBorder="1"/>
    <xf numFmtId="3" fontId="4" fillId="0" borderId="44" xfId="1" applyNumberFormat="1" applyBorder="1"/>
    <xf numFmtId="3" fontId="36" fillId="0" borderId="9" xfId="3" applyNumberFormat="1" applyFont="1" applyFill="1" applyBorder="1" applyAlignment="1" applyProtection="1">
      <alignment horizontal="center" vertical="center" wrapText="1"/>
    </xf>
    <xf numFmtId="0" fontId="41" fillId="0" borderId="9" xfId="2" applyFont="1" applyFill="1" applyBorder="1" applyAlignment="1">
      <alignment horizontal="center"/>
    </xf>
    <xf numFmtId="0" fontId="36" fillId="0" borderId="9" xfId="3" applyNumberFormat="1" applyFont="1" applyFill="1" applyBorder="1" applyAlignment="1" applyProtection="1">
      <alignment horizontal="center" vertical="center" wrapText="1"/>
    </xf>
    <xf numFmtId="0" fontId="41" fillId="0" borderId="9" xfId="2" applyFont="1" applyFill="1" applyBorder="1" applyAlignment="1"/>
    <xf numFmtId="1" fontId="36" fillId="0" borderId="9" xfId="3" applyNumberFormat="1" applyFont="1" applyFill="1" applyBorder="1" applyAlignment="1" applyProtection="1">
      <alignment horizontal="center" vertical="center" wrapText="1"/>
    </xf>
    <xf numFmtId="3" fontId="41" fillId="0" borderId="9" xfId="2" applyNumberFormat="1" applyFont="1" applyFill="1" applyBorder="1" applyAlignment="1">
      <alignment horizontal="center"/>
    </xf>
    <xf numFmtId="1" fontId="41" fillId="0" borderId="9" xfId="2" applyNumberFormat="1" applyFont="1" applyFill="1" applyBorder="1" applyAlignment="1">
      <alignment horizontal="center"/>
    </xf>
    <xf numFmtId="3" fontId="39" fillId="0" borderId="30" xfId="1" applyNumberFormat="1" applyFont="1" applyBorder="1" applyAlignment="1">
      <alignment horizontal="center" vertical="center" wrapText="1"/>
    </xf>
    <xf numFmtId="1" fontId="13" fillId="0" borderId="9" xfId="3" applyNumberFormat="1" applyFont="1" applyFill="1" applyBorder="1" applyAlignment="1" applyProtection="1">
      <alignment horizontal="center" vertical="center" wrapText="1"/>
    </xf>
    <xf numFmtId="2" fontId="13" fillId="0" borderId="9" xfId="3" applyNumberFormat="1" applyFont="1" applyFill="1" applyBorder="1" applyAlignment="1" applyProtection="1">
      <alignment horizontal="center" vertical="center" wrapText="1"/>
    </xf>
    <xf numFmtId="0" fontId="1" fillId="0" borderId="0" xfId="1" applyFont="1"/>
    <xf numFmtId="0" fontId="77" fillId="0" borderId="0" xfId="1" applyFont="1" applyAlignment="1">
      <alignment horizontal="right"/>
    </xf>
    <xf numFmtId="0" fontId="12" fillId="0" borderId="0" xfId="2" applyFont="1" applyFill="1" applyAlignment="1">
      <alignment horizontal="right"/>
    </xf>
    <xf numFmtId="0" fontId="14" fillId="0" borderId="0" xfId="2" applyFont="1" applyAlignment="1">
      <alignment horizontal="center" vertical="top"/>
    </xf>
    <xf numFmtId="0" fontId="12" fillId="0" borderId="0" xfId="2" applyFont="1" applyFill="1" applyAlignment="1">
      <alignment horizontal="left"/>
    </xf>
    <xf numFmtId="0" fontId="11" fillId="0" borderId="0" xfId="2" applyFont="1" applyFill="1"/>
    <xf numFmtId="0" fontId="12" fillId="0" borderId="0" xfId="2" applyFont="1" applyFill="1" applyAlignment="1">
      <alignment horizontal="center"/>
    </xf>
    <xf numFmtId="0" fontId="11" fillId="0" borderId="0" xfId="2" applyFont="1" applyFill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15" fillId="0" borderId="21" xfId="2" applyFont="1" applyFill="1" applyBorder="1"/>
    <xf numFmtId="0" fontId="15" fillId="0" borderId="24" xfId="2" applyFont="1" applyFill="1" applyBorder="1"/>
    <xf numFmtId="0" fontId="11" fillId="0" borderId="15" xfId="2" applyFont="1" applyFill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18" xfId="3" applyFont="1" applyFill="1" applyBorder="1" applyAlignment="1" applyProtection="1">
      <alignment horizontal="center" vertical="center" wrapText="1"/>
      <protection locked="0"/>
    </xf>
    <xf numFmtId="0" fontId="11" fillId="0" borderId="22" xfId="3" applyFont="1" applyFill="1" applyBorder="1" applyAlignment="1" applyProtection="1">
      <alignment horizontal="center" vertical="center" wrapText="1"/>
      <protection locked="0"/>
    </xf>
    <xf numFmtId="0" fontId="11" fillId="0" borderId="25" xfId="3" applyFont="1" applyFill="1" applyBorder="1" applyAlignment="1" applyProtection="1">
      <alignment horizontal="center" vertical="center" wrapText="1"/>
      <protection locked="0"/>
    </xf>
    <xf numFmtId="0" fontId="11" fillId="0" borderId="19" xfId="2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textRotation="90" wrapText="1"/>
    </xf>
    <xf numFmtId="0" fontId="12" fillId="0" borderId="15" xfId="2" applyFont="1" applyFill="1" applyBorder="1" applyAlignment="1">
      <alignment horizontal="center"/>
    </xf>
    <xf numFmtId="0" fontId="12" fillId="0" borderId="16" xfId="2" applyFont="1" applyFill="1" applyBorder="1" applyAlignment="1">
      <alignment horizontal="center"/>
    </xf>
    <xf numFmtId="0" fontId="11" fillId="0" borderId="12" xfId="3" applyFont="1" applyFill="1" applyBorder="1" applyAlignment="1" applyProtection="1">
      <alignment horizontal="center" vertical="center" wrapText="1"/>
      <protection locked="0"/>
    </xf>
    <xf numFmtId="0" fontId="11" fillId="0" borderId="24" xfId="3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 wrapText="1"/>
      <protection locked="0"/>
    </xf>
    <xf numFmtId="0" fontId="11" fillId="0" borderId="9" xfId="2" applyFont="1" applyFill="1" applyBorder="1" applyAlignment="1">
      <alignment horizontal="center"/>
    </xf>
    <xf numFmtId="0" fontId="11" fillId="0" borderId="9" xfId="2" applyFont="1" applyFill="1" applyBorder="1" applyAlignment="1">
      <alignment horizontal="center" vertical="center" wrapText="1"/>
    </xf>
    <xf numFmtId="0" fontId="12" fillId="0" borderId="17" xfId="2" applyFont="1" applyFill="1" applyBorder="1" applyAlignment="1">
      <alignment horizontal="center"/>
    </xf>
    <xf numFmtId="0" fontId="12" fillId="0" borderId="15" xfId="3" applyNumberFormat="1" applyFont="1" applyFill="1" applyBorder="1" applyAlignment="1" applyProtection="1">
      <alignment horizontal="center" vertical="center" wrapText="1"/>
    </xf>
    <xf numFmtId="0" fontId="12" fillId="0" borderId="16" xfId="3" applyNumberFormat="1" applyFont="1" applyFill="1" applyBorder="1" applyAlignment="1" applyProtection="1">
      <alignment horizontal="center" vertical="center" wrapText="1"/>
    </xf>
    <xf numFmtId="0" fontId="12" fillId="3" borderId="24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6" fillId="0" borderId="1" xfId="1" applyFont="1" applyBorder="1" applyAlignment="1">
      <alignment horizontal="justify" vertical="center" wrapText="1"/>
    </xf>
    <xf numFmtId="0" fontId="6" fillId="0" borderId="3" xfId="1" applyFont="1" applyBorder="1" applyAlignment="1">
      <alignment horizontal="justify" vertical="center" wrapText="1"/>
    </xf>
    <xf numFmtId="0" fontId="6" fillId="0" borderId="1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12" fillId="0" borderId="17" xfId="2" applyFont="1" applyFill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4" fillId="0" borderId="27" xfId="1" applyBorder="1" applyAlignment="1">
      <alignment horizontal="center" vertical="top" wrapText="1"/>
    </xf>
    <xf numFmtId="0" fontId="4" fillId="0" borderId="28" xfId="1" applyBorder="1" applyAlignment="1">
      <alignment horizontal="center" vertical="top" wrapText="1"/>
    </xf>
    <xf numFmtId="0" fontId="4" fillId="0" borderId="29" xfId="1" applyBorder="1" applyAlignment="1">
      <alignment horizontal="center" vertical="top" wrapText="1"/>
    </xf>
    <xf numFmtId="0" fontId="22" fillId="0" borderId="27" xfId="1" applyFont="1" applyBorder="1" applyAlignment="1">
      <alignment horizontal="left" vertical="center" wrapText="1"/>
    </xf>
    <xf numFmtId="0" fontId="22" fillId="0" borderId="28" xfId="1" applyFont="1" applyBorder="1" applyAlignment="1">
      <alignment horizontal="left" vertical="center" wrapText="1"/>
    </xf>
    <xf numFmtId="0" fontId="22" fillId="0" borderId="29" xfId="1" applyFont="1" applyBorder="1" applyAlignment="1">
      <alignment horizontal="left" vertical="center" wrapText="1"/>
    </xf>
    <xf numFmtId="0" fontId="4" fillId="0" borderId="0" xfId="1" applyAlignment="1">
      <alignment horizontal="center" vertical="top" wrapText="1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 wrapText="1"/>
    </xf>
    <xf numFmtId="0" fontId="27" fillId="0" borderId="30" xfId="1" applyFont="1" applyBorder="1" applyAlignment="1">
      <alignment horizontal="center" vertical="center" wrapText="1"/>
    </xf>
    <xf numFmtId="0" fontId="29" fillId="0" borderId="30" xfId="6" applyFont="1" applyBorder="1" applyAlignment="1">
      <alignment horizontal="center" vertical="center" wrapText="1"/>
    </xf>
    <xf numFmtId="0" fontId="27" fillId="0" borderId="31" xfId="1" applyFont="1" applyBorder="1" applyAlignment="1">
      <alignment horizontal="center" vertical="center" wrapText="1"/>
    </xf>
    <xf numFmtId="0" fontId="27" fillId="0" borderId="32" xfId="1" applyFont="1" applyBorder="1" applyAlignment="1">
      <alignment horizontal="center" vertical="center" wrapText="1"/>
    </xf>
    <xf numFmtId="0" fontId="27" fillId="0" borderId="33" xfId="1" applyFont="1" applyBorder="1" applyAlignment="1">
      <alignment horizontal="center" vertical="center" wrapText="1"/>
    </xf>
    <xf numFmtId="0" fontId="7" fillId="0" borderId="30" xfId="1" applyFont="1" applyBorder="1" applyAlignment="1">
      <alignment vertical="top" wrapText="1"/>
    </xf>
    <xf numFmtId="0" fontId="23" fillId="0" borderId="30" xfId="1" applyFont="1" applyBorder="1" applyAlignment="1">
      <alignment vertical="center" wrapText="1"/>
    </xf>
    <xf numFmtId="0" fontId="21" fillId="0" borderId="0" xfId="2" applyFont="1" applyFill="1" applyAlignment="1">
      <alignment horizontal="center"/>
    </xf>
    <xf numFmtId="0" fontId="21" fillId="0" borderId="0" xfId="2" applyFont="1" applyFill="1" applyAlignment="1">
      <alignment horizontal="left"/>
    </xf>
    <xf numFmtId="0" fontId="33" fillId="0" borderId="0" xfId="2" applyFont="1" applyFill="1" applyAlignment="1">
      <alignment horizontal="center" vertical="top"/>
    </xf>
    <xf numFmtId="0" fontId="13" fillId="0" borderId="0" xfId="3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Fill="1" applyAlignment="1">
      <alignment horizontal="left" wrapText="1"/>
    </xf>
    <xf numFmtId="0" fontId="31" fillId="0" borderId="0" xfId="2" applyFont="1" applyFill="1" applyAlignment="1">
      <alignment horizontal="left" wrapText="1"/>
    </xf>
    <xf numFmtId="0" fontId="21" fillId="0" borderId="0" xfId="2" applyFont="1" applyFill="1" applyAlignment="1">
      <alignment horizontal="center" vertical="top" wrapText="1"/>
    </xf>
    <xf numFmtId="0" fontId="21" fillId="0" borderId="0" xfId="2" applyFont="1" applyFill="1" applyAlignment="1">
      <alignment horizontal="left" vertical="center" wrapText="1"/>
    </xf>
    <xf numFmtId="0" fontId="33" fillId="0" borderId="0" xfId="2" applyFont="1" applyFill="1" applyAlignment="1">
      <alignment horizontal="left"/>
    </xf>
    <xf numFmtId="0" fontId="33" fillId="0" borderId="0" xfId="2" applyFont="1" applyFill="1" applyAlignment="1">
      <alignment horizontal="center"/>
    </xf>
    <xf numFmtId="0" fontId="13" fillId="0" borderId="9" xfId="2" applyFont="1" applyFill="1" applyBorder="1" applyAlignment="1">
      <alignment horizontal="center" vertical="center" wrapText="1"/>
    </xf>
    <xf numFmtId="0" fontId="13" fillId="0" borderId="12" xfId="2" applyFont="1" applyFill="1" applyBorder="1" applyAlignment="1">
      <alignment horizontal="center" vertical="center" textRotation="90" wrapText="1"/>
    </xf>
    <xf numFmtId="0" fontId="13" fillId="0" borderId="21" xfId="2" applyFont="1" applyFill="1" applyBorder="1" applyAlignment="1">
      <alignment horizontal="center" vertical="center" textRotation="90" wrapText="1"/>
    </xf>
    <xf numFmtId="0" fontId="13" fillId="0" borderId="24" xfId="2" applyFont="1" applyFill="1" applyBorder="1" applyAlignment="1">
      <alignment horizontal="center" vertical="center" textRotation="90" wrapText="1"/>
    </xf>
    <xf numFmtId="0" fontId="13" fillId="0" borderId="12" xfId="2" applyFont="1" applyFill="1" applyBorder="1" applyAlignment="1">
      <alignment horizontal="center" vertical="center" wrapText="1"/>
    </xf>
    <xf numFmtId="0" fontId="13" fillId="0" borderId="21" xfId="2" applyFont="1" applyFill="1" applyBorder="1" applyAlignment="1">
      <alignment horizontal="center" vertical="center" wrapText="1"/>
    </xf>
    <xf numFmtId="0" fontId="13" fillId="0" borderId="24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 vertical="center" wrapText="1"/>
    </xf>
    <xf numFmtId="0" fontId="10" fillId="0" borderId="21" xfId="2" applyFont="1" applyFill="1" applyBorder="1"/>
    <xf numFmtId="0" fontId="10" fillId="0" borderId="24" xfId="2" applyFont="1" applyFill="1" applyBorder="1"/>
    <xf numFmtId="0" fontId="13" fillId="0" borderId="15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13" fillId="0" borderId="17" xfId="2" applyFont="1" applyFill="1" applyBorder="1" applyAlignment="1">
      <alignment horizontal="center" vertical="center" wrapText="1"/>
    </xf>
    <xf numFmtId="0" fontId="13" fillId="0" borderId="18" xfId="3" applyFont="1" applyFill="1" applyBorder="1" applyAlignment="1" applyProtection="1">
      <alignment horizontal="center" vertical="center" wrapText="1"/>
      <protection locked="0"/>
    </xf>
    <xf numFmtId="0" fontId="13" fillId="0" borderId="22" xfId="3" applyFont="1" applyFill="1" applyBorder="1" applyAlignment="1" applyProtection="1">
      <alignment horizontal="center" vertical="center" wrapText="1"/>
      <protection locked="0"/>
    </xf>
    <xf numFmtId="0" fontId="13" fillId="0" borderId="25" xfId="3" applyFont="1" applyFill="1" applyBorder="1" applyAlignment="1" applyProtection="1">
      <alignment horizontal="center" vertical="center" wrapText="1"/>
      <protection locked="0"/>
    </xf>
    <xf numFmtId="0" fontId="18" fillId="0" borderId="15" xfId="2" applyFont="1" applyFill="1" applyBorder="1" applyAlignment="1">
      <alignment horizontal="center"/>
    </xf>
    <xf numFmtId="0" fontId="18" fillId="0" borderId="16" xfId="2" applyFont="1" applyFill="1" applyBorder="1" applyAlignment="1">
      <alignment horizontal="center"/>
    </xf>
    <xf numFmtId="0" fontId="18" fillId="0" borderId="17" xfId="2" applyFont="1" applyFill="1" applyBorder="1" applyAlignment="1">
      <alignment horizontal="center"/>
    </xf>
    <xf numFmtId="0" fontId="13" fillId="0" borderId="9" xfId="2" applyFont="1" applyFill="1" applyBorder="1" applyAlignment="1">
      <alignment horizontal="center"/>
    </xf>
    <xf numFmtId="0" fontId="13" fillId="0" borderId="9" xfId="3" applyFont="1" applyFill="1" applyBorder="1" applyAlignment="1" applyProtection="1">
      <alignment horizontal="center" vertical="center" wrapText="1"/>
      <protection locked="0"/>
    </xf>
    <xf numFmtId="0" fontId="13" fillId="0" borderId="15" xfId="2" applyFont="1" applyFill="1" applyBorder="1" applyAlignment="1">
      <alignment horizontal="center"/>
    </xf>
    <xf numFmtId="0" fontId="13" fillId="0" borderId="16" xfId="2" applyFont="1" applyFill="1" applyBorder="1" applyAlignment="1">
      <alignment horizontal="center"/>
    </xf>
    <xf numFmtId="0" fontId="13" fillId="0" borderId="17" xfId="2" applyFont="1" applyFill="1" applyBorder="1" applyAlignment="1">
      <alignment horizontal="center"/>
    </xf>
    <xf numFmtId="0" fontId="18" fillId="0" borderId="15" xfId="3" applyNumberFormat="1" applyFont="1" applyFill="1" applyBorder="1" applyAlignment="1" applyProtection="1">
      <alignment horizontal="center" vertical="center" wrapText="1"/>
    </xf>
    <xf numFmtId="0" fontId="18" fillId="0" borderId="16" xfId="3" applyNumberFormat="1" applyFont="1" applyFill="1" applyBorder="1" applyAlignment="1" applyProtection="1">
      <alignment horizontal="center" vertical="center" wrapText="1"/>
    </xf>
    <xf numFmtId="0" fontId="18" fillId="0" borderId="17" xfId="3" applyNumberFormat="1" applyFont="1" applyFill="1" applyBorder="1" applyAlignment="1" applyProtection="1">
      <alignment horizontal="center" vertical="center" wrapText="1"/>
    </xf>
    <xf numFmtId="0" fontId="13" fillId="0" borderId="15" xfId="3" applyNumberFormat="1" applyFont="1" applyFill="1" applyBorder="1" applyAlignment="1" applyProtection="1">
      <alignment horizontal="center" vertical="center" wrapText="1"/>
    </xf>
    <xf numFmtId="0" fontId="13" fillId="0" borderId="16" xfId="3" applyNumberFormat="1" applyFont="1" applyFill="1" applyBorder="1" applyAlignment="1" applyProtection="1">
      <alignment horizontal="center" vertical="center" wrapText="1"/>
    </xf>
    <xf numFmtId="0" fontId="13" fillId="0" borderId="17" xfId="3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right"/>
    </xf>
    <xf numFmtId="0" fontId="18" fillId="0" borderId="15" xfId="2" applyFont="1" applyFill="1" applyBorder="1" applyAlignment="1"/>
    <xf numFmtId="0" fontId="18" fillId="0" borderId="16" xfId="2" applyFont="1" applyFill="1" applyBorder="1" applyAlignment="1"/>
    <xf numFmtId="0" fontId="18" fillId="0" borderId="17" xfId="2" applyFont="1" applyFill="1" applyBorder="1" applyAlignment="1"/>
    <xf numFmtId="0" fontId="13" fillId="0" borderId="15" xfId="3" applyNumberFormat="1" applyFont="1" applyFill="1" applyBorder="1" applyAlignment="1" applyProtection="1">
      <alignment vertical="center" wrapText="1"/>
    </xf>
    <xf numFmtId="0" fontId="13" fillId="0" borderId="16" xfId="3" applyNumberFormat="1" applyFont="1" applyFill="1" applyBorder="1" applyAlignment="1" applyProtection="1">
      <alignment vertical="center" wrapText="1"/>
    </xf>
    <xf numFmtId="0" fontId="13" fillId="0" borderId="17" xfId="3" applyNumberFormat="1" applyFont="1" applyFill="1" applyBorder="1" applyAlignment="1" applyProtection="1">
      <alignment vertical="center" wrapText="1"/>
    </xf>
    <xf numFmtId="0" fontId="13" fillId="0" borderId="15" xfId="2" applyFont="1" applyFill="1" applyBorder="1" applyAlignment="1"/>
    <xf numFmtId="0" fontId="13" fillId="0" borderId="16" xfId="2" applyFont="1" applyFill="1" applyBorder="1" applyAlignment="1"/>
    <xf numFmtId="0" fontId="13" fillId="0" borderId="17" xfId="2" applyFont="1" applyFill="1" applyBorder="1" applyAlignment="1"/>
    <xf numFmtId="0" fontId="18" fillId="0" borderId="9" xfId="2" applyFont="1" applyFill="1" applyBorder="1" applyAlignment="1"/>
    <xf numFmtId="0" fontId="13" fillId="0" borderId="0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center"/>
    </xf>
    <xf numFmtId="0" fontId="13" fillId="0" borderId="9" xfId="2" applyFont="1" applyFill="1" applyBorder="1" applyAlignment="1"/>
    <xf numFmtId="0" fontId="11" fillId="0" borderId="26" xfId="2" applyFont="1" applyFill="1" applyBorder="1" applyAlignment="1"/>
    <xf numFmtId="0" fontId="18" fillId="0" borderId="15" xfId="3" applyNumberFormat="1" applyFont="1" applyFill="1" applyBorder="1" applyAlignment="1" applyProtection="1">
      <alignment vertical="center" wrapText="1"/>
    </xf>
    <xf numFmtId="0" fontId="18" fillId="0" borderId="16" xfId="3" applyNumberFormat="1" applyFont="1" applyFill="1" applyBorder="1" applyAlignment="1" applyProtection="1">
      <alignment vertical="center" wrapText="1"/>
    </xf>
    <xf numFmtId="0" fontId="18" fillId="0" borderId="17" xfId="3" applyNumberFormat="1" applyFont="1" applyFill="1" applyBorder="1" applyAlignment="1" applyProtection="1">
      <alignment vertical="center" wrapText="1"/>
    </xf>
    <xf numFmtId="0" fontId="28" fillId="0" borderId="30" xfId="6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59" fillId="0" borderId="0" xfId="1" applyFont="1" applyAlignment="1">
      <alignment horizontal="center" vertical="center" wrapText="1"/>
    </xf>
    <xf numFmtId="0" fontId="23" fillId="0" borderId="27" xfId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43" fillId="0" borderId="30" xfId="1" applyFont="1" applyBorder="1" applyAlignment="1">
      <alignment horizontal="center" vertical="center" wrapText="1"/>
    </xf>
    <xf numFmtId="0" fontId="39" fillId="0" borderId="0" xfId="1" applyFont="1" applyBorder="1" applyAlignment="1">
      <alignment horizontal="center" vertical="center" wrapText="1"/>
    </xf>
    <xf numFmtId="0" fontId="39" fillId="0" borderId="0" xfId="1" applyFont="1" applyAlignment="1">
      <alignment horizontal="center" vertical="center" wrapText="1"/>
    </xf>
    <xf numFmtId="0" fontId="77" fillId="0" borderId="0" xfId="1" applyFont="1" applyAlignment="1">
      <alignment horizontal="right" vertical="center" wrapText="1"/>
    </xf>
    <xf numFmtId="0" fontId="39" fillId="0" borderId="0" xfId="1" applyFont="1" applyAlignment="1">
      <alignment horizontal="left" vertical="center" wrapText="1"/>
    </xf>
    <xf numFmtId="3" fontId="64" fillId="4" borderId="36" xfId="0" applyNumberFormat="1" applyFont="1" applyFill="1" applyBorder="1" applyAlignment="1">
      <alignment horizontal="center"/>
    </xf>
    <xf numFmtId="3" fontId="64" fillId="4" borderId="37" xfId="0" applyNumberFormat="1" applyFont="1" applyFill="1" applyBorder="1" applyAlignment="1">
      <alignment horizontal="center"/>
    </xf>
    <xf numFmtId="0" fontId="64" fillId="4" borderId="37" xfId="0" applyFont="1" applyFill="1" applyBorder="1" applyAlignment="1">
      <alignment horizontal="center"/>
    </xf>
    <xf numFmtId="0" fontId="64" fillId="4" borderId="38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/>
    </xf>
    <xf numFmtId="0" fontId="62" fillId="0" borderId="36" xfId="0" applyFont="1" applyBorder="1" applyAlignment="1">
      <alignment horizontal="center" wrapText="1"/>
    </xf>
    <xf numFmtId="0" fontId="62" fillId="0" borderId="37" xfId="0" applyFont="1" applyBorder="1" applyAlignment="1">
      <alignment horizontal="center" wrapText="1"/>
    </xf>
    <xf numFmtId="0" fontId="62" fillId="0" borderId="38" xfId="0" applyFont="1" applyBorder="1" applyAlignment="1">
      <alignment horizontal="center" wrapText="1"/>
    </xf>
    <xf numFmtId="3" fontId="64" fillId="4" borderId="34" xfId="0" applyNumberFormat="1" applyFont="1" applyFill="1" applyBorder="1" applyAlignment="1">
      <alignment horizontal="center"/>
    </xf>
    <xf numFmtId="0" fontId="64" fillId="4" borderId="34" xfId="0" applyFont="1" applyFill="1" applyBorder="1" applyAlignment="1">
      <alignment horizontal="center"/>
    </xf>
    <xf numFmtId="0" fontId="67" fillId="4" borderId="34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3" fontId="64" fillId="4" borderId="38" xfId="0" applyNumberFormat="1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42" fillId="0" borderId="36" xfId="0" applyFont="1" applyBorder="1" applyAlignment="1">
      <alignment horizontal="center" wrapText="1"/>
    </xf>
    <xf numFmtId="0" fontId="42" fillId="0" borderId="37" xfId="0" applyFont="1" applyBorder="1" applyAlignment="1">
      <alignment horizontal="center" wrapText="1"/>
    </xf>
    <xf numFmtId="0" fontId="42" fillId="0" borderId="38" xfId="0" applyFont="1" applyBorder="1" applyAlignment="1">
      <alignment horizontal="center" wrapText="1"/>
    </xf>
    <xf numFmtId="0" fontId="67" fillId="4" borderId="60" xfId="0" applyFont="1" applyFill="1" applyBorder="1" applyAlignment="1">
      <alignment horizontal="center" vertical="center" wrapText="1"/>
    </xf>
    <xf numFmtId="0" fontId="67" fillId="4" borderId="63" xfId="0" applyFont="1" applyFill="1" applyBorder="1" applyAlignment="1">
      <alignment horizontal="center" vertical="center" wrapText="1"/>
    </xf>
    <xf numFmtId="0" fontId="67" fillId="4" borderId="61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/>
    </xf>
    <xf numFmtId="0" fontId="59" fillId="0" borderId="35" xfId="1" applyFont="1" applyBorder="1" applyAlignment="1">
      <alignment horizontal="center" vertical="center" wrapText="1"/>
    </xf>
    <xf numFmtId="3" fontId="22" fillId="5" borderId="93" xfId="0" applyNumberFormat="1" applyFont="1" applyFill="1" applyBorder="1" applyAlignment="1">
      <alignment horizontal="center" vertical="center"/>
    </xf>
    <xf numFmtId="3" fontId="22" fillId="5" borderId="94" xfId="0" applyNumberFormat="1" applyFont="1" applyFill="1" applyBorder="1" applyAlignment="1">
      <alignment horizontal="center" vertical="center"/>
    </xf>
    <xf numFmtId="0" fontId="67" fillId="0" borderId="37" xfId="0" applyFont="1" applyFill="1" applyBorder="1" applyAlignment="1">
      <alignment horizontal="center" vertical="center" wrapText="1"/>
    </xf>
    <xf numFmtId="0" fontId="67" fillId="0" borderId="70" xfId="0" applyFont="1" applyFill="1" applyBorder="1" applyAlignment="1">
      <alignment horizontal="center" vertical="center" wrapText="1"/>
    </xf>
    <xf numFmtId="0" fontId="67" fillId="0" borderId="65" xfId="0" applyFont="1" applyFill="1" applyBorder="1" applyAlignment="1">
      <alignment horizontal="center" vertical="center" wrapText="1"/>
    </xf>
    <xf numFmtId="0" fontId="77" fillId="0" borderId="36" xfId="0" applyFont="1" applyBorder="1" applyAlignment="1">
      <alignment horizontal="center" wrapText="1"/>
    </xf>
    <xf numFmtId="0" fontId="77" fillId="0" borderId="35" xfId="0" applyFont="1" applyBorder="1" applyAlignment="1">
      <alignment horizontal="center" wrapText="1"/>
    </xf>
    <xf numFmtId="0" fontId="77" fillId="0" borderId="37" xfId="0" applyFont="1" applyBorder="1" applyAlignment="1">
      <alignment horizontal="center" wrapText="1"/>
    </xf>
    <xf numFmtId="0" fontId="77" fillId="0" borderId="65" xfId="0" applyFont="1" applyBorder="1" applyAlignment="1">
      <alignment horizontal="center" wrapText="1"/>
    </xf>
    <xf numFmtId="0" fontId="75" fillId="0" borderId="89" xfId="1" applyFont="1" applyBorder="1" applyAlignment="1">
      <alignment horizontal="left" vertical="center" wrapText="1"/>
    </xf>
    <xf numFmtId="0" fontId="42" fillId="0" borderId="65" xfId="0" applyFont="1" applyBorder="1" applyAlignment="1">
      <alignment horizontal="center" wrapText="1"/>
    </xf>
    <xf numFmtId="0" fontId="22" fillId="5" borderId="94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6" fillId="5" borderId="77" xfId="0" applyFont="1" applyFill="1" applyBorder="1" applyAlignment="1">
      <alignment horizontal="center" vertical="center" wrapText="1"/>
    </xf>
    <xf numFmtId="0" fontId="26" fillId="5" borderId="66" xfId="0" applyFont="1" applyFill="1" applyBorder="1" applyAlignment="1">
      <alignment horizontal="center" vertical="center" wrapText="1"/>
    </xf>
    <xf numFmtId="0" fontId="67" fillId="0" borderId="78" xfId="0" applyFont="1" applyFill="1" applyBorder="1" applyAlignment="1">
      <alignment horizontal="center" vertical="center" wrapText="1"/>
    </xf>
    <xf numFmtId="0" fontId="67" fillId="0" borderId="34" xfId="0" applyFont="1" applyFill="1" applyBorder="1" applyAlignment="1">
      <alignment horizontal="center" vertical="center" wrapText="1"/>
    </xf>
    <xf numFmtId="0" fontId="67" fillId="0" borderId="79" xfId="0" applyFont="1" applyFill="1" applyBorder="1" applyAlignment="1">
      <alignment horizontal="center" vertical="center" wrapText="1"/>
    </xf>
    <xf numFmtId="0" fontId="67" fillId="0" borderId="71" xfId="0" applyFont="1" applyFill="1" applyBorder="1" applyAlignment="1">
      <alignment horizontal="center" vertical="center" wrapText="1"/>
    </xf>
    <xf numFmtId="0" fontId="67" fillId="0" borderId="72" xfId="0" applyFont="1" applyFill="1" applyBorder="1" applyAlignment="1">
      <alignment horizontal="center" vertical="center" wrapText="1"/>
    </xf>
    <xf numFmtId="0" fontId="7" fillId="0" borderId="84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0" fontId="0" fillId="0" borderId="91" xfId="0" applyBorder="1" applyAlignment="1">
      <alignment horizontal="center"/>
    </xf>
    <xf numFmtId="0" fontId="67" fillId="0" borderId="82" xfId="0" applyFont="1" applyFill="1" applyBorder="1" applyAlignment="1">
      <alignment horizontal="center" vertical="center" wrapText="1"/>
    </xf>
    <xf numFmtId="0" fontId="67" fillId="0" borderId="81" xfId="0" applyFont="1" applyFill="1" applyBorder="1" applyAlignment="1">
      <alignment horizontal="center" vertical="center" wrapText="1"/>
    </xf>
    <xf numFmtId="0" fontId="67" fillId="0" borderId="83" xfId="0" applyFont="1" applyFill="1" applyBorder="1" applyAlignment="1">
      <alignment horizontal="center" vertical="center" wrapText="1"/>
    </xf>
    <xf numFmtId="0" fontId="67" fillId="0" borderId="68" xfId="0" applyFont="1" applyFill="1" applyBorder="1" applyAlignment="1">
      <alignment horizontal="center" vertical="center" wrapText="1"/>
    </xf>
    <xf numFmtId="0" fontId="67" fillId="0" borderId="35" xfId="0" applyFont="1" applyFill="1" applyBorder="1" applyAlignment="1">
      <alignment horizontal="center" vertical="center" wrapText="1"/>
    </xf>
    <xf numFmtId="0" fontId="67" fillId="0" borderId="69" xfId="0" applyFont="1" applyFill="1" applyBorder="1" applyAlignment="1">
      <alignment horizontal="center" vertical="center" wrapText="1"/>
    </xf>
    <xf numFmtId="0" fontId="7" fillId="0" borderId="91" xfId="0" applyFont="1" applyBorder="1" applyAlignment="1">
      <alignment horizontal="center"/>
    </xf>
    <xf numFmtId="0" fontId="83" fillId="0" borderId="35" xfId="1" applyFont="1" applyBorder="1" applyAlignment="1">
      <alignment horizontal="center" vertical="center" wrapText="1"/>
    </xf>
    <xf numFmtId="0" fontId="8" fillId="5" borderId="0" xfId="0" applyFont="1" applyFill="1" applyAlignment="1"/>
    <xf numFmtId="0" fontId="0" fillId="0" borderId="0" xfId="0" applyAlignment="1"/>
    <xf numFmtId="0" fontId="84" fillId="0" borderId="0" xfId="0" applyFont="1" applyAlignment="1">
      <alignment horizontal="center" wrapText="1"/>
    </xf>
    <xf numFmtId="0" fontId="84" fillId="0" borderId="0" xfId="0" applyFont="1" applyAlignment="1">
      <alignment horizontal="center"/>
    </xf>
    <xf numFmtId="0" fontId="88" fillId="0" borderId="0" xfId="0" applyFont="1" applyAlignment="1">
      <alignment wrapText="1"/>
    </xf>
    <xf numFmtId="0" fontId="54" fillId="0" borderId="0" xfId="0" applyFont="1" applyAlignment="1">
      <alignment wrapText="1"/>
    </xf>
    <xf numFmtId="0" fontId="87" fillId="7" borderId="0" xfId="0" applyFont="1" applyFill="1" applyAlignment="1">
      <alignment horizontal="center"/>
    </xf>
  </cellXfs>
  <cellStyles count="9">
    <cellStyle name="Iau?iue" xfId="3"/>
    <cellStyle name="Гиперссылка" xfId="6" builtinId="8"/>
    <cellStyle name="Денежный 2" xfId="7"/>
    <cellStyle name="Обычный" xfId="0" builtinId="0"/>
    <cellStyle name="Обычный 2" xfId="1"/>
    <cellStyle name="Обычный 2 2" xfId="4"/>
    <cellStyle name="Обычный 3" xfId="2"/>
    <cellStyle name="Процентный" xfId="8" builtinId="5"/>
    <cellStyle name="Финансовый 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>
                <a:solidFill>
                  <a:schemeClr val="accent6">
                    <a:lumMod val="75000"/>
                  </a:schemeClr>
                </a:solidFill>
              </a:rPr>
              <a:t>Виконання Інвестиц</a:t>
            </a:r>
            <a:r>
              <a:rPr lang="uk-UA" sz="1200" b="1">
                <a:solidFill>
                  <a:schemeClr val="accent6">
                    <a:lumMod val="75000"/>
                  </a:schemeClr>
                </a:solidFill>
              </a:rPr>
              <a:t>ійної</a:t>
            </a:r>
            <a:r>
              <a:rPr lang="uk-UA" sz="1200" b="1" baseline="0">
                <a:solidFill>
                  <a:schemeClr val="accent6">
                    <a:lumMod val="75000"/>
                  </a:schemeClr>
                </a:solidFill>
              </a:rPr>
              <a:t> програмии - Розвитку об'єкта концесії</a:t>
            </a:r>
            <a:endParaRPr lang="ru-RU" sz="1200" b="1">
              <a:solidFill>
                <a:schemeClr val="accent6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8.4655137285921458E-2"/>
          <c:y val="0.11492106764092358"/>
          <c:w val="0.81823224151775564"/>
          <c:h val="0.72296907551261991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3.4188034188034205E-2"/>
                  <c:y val="-0.350582596149582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A-4548-99E5-BB5C811C33B1}"/>
                </c:ext>
              </c:extLst>
            </c:dLbl>
            <c:dLbl>
              <c:idx val="1"/>
              <c:layout>
                <c:manualLayout>
                  <c:x val="1.3295346628679962E-2"/>
                  <c:y val="-0.234964931461954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A-4548-99E5-BB5C811C33B1}"/>
                </c:ext>
              </c:extLst>
            </c:dLbl>
            <c:dLbl>
              <c:idx val="2"/>
              <c:layout>
                <c:manualLayout>
                  <c:x val="0"/>
                  <c:y val="-0.126806470947721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A-4548-99E5-BB5C811C33B1}"/>
                </c:ext>
              </c:extLst>
            </c:dLbl>
            <c:dLbl>
              <c:idx val="3"/>
              <c:layout>
                <c:manualLayout>
                  <c:x val="5.698005698005628E-3"/>
                  <c:y val="-0.208857716855070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A-4548-99E5-BB5C811C33B1}"/>
                </c:ext>
              </c:extLst>
            </c:dLbl>
            <c:dLbl>
              <c:idx val="4"/>
              <c:layout>
                <c:manualLayout>
                  <c:x val="-3.7986704653371322E-3"/>
                  <c:y val="-0.149184083467907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A-4548-99E5-BB5C811C33B1}"/>
                </c:ext>
              </c:extLst>
            </c:dLbl>
            <c:dLbl>
              <c:idx val="5"/>
              <c:layout>
                <c:manualLayout>
                  <c:x val="-5.6980056980058371E-3"/>
                  <c:y val="-0.134265675121116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A-4548-99E5-BB5C811C33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графік!$B$4:$B$9</c:f>
              <c:strCache>
                <c:ptCount val="6"/>
                <c:pt idx="0">
                  <c:v>2018-2020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  <c:pt idx="5">
                  <c:v>2024-2025</c:v>
                </c:pt>
              </c:strCache>
            </c:strRef>
          </c:cat>
          <c:val>
            <c:numRef>
              <c:f>графік!$C$4:$C$9</c:f>
              <c:numCache>
                <c:formatCode>#\ ##0.0</c:formatCode>
                <c:ptCount val="6"/>
                <c:pt idx="0">
                  <c:v>28.684035000000002</c:v>
                </c:pt>
                <c:pt idx="1">
                  <c:v>14.236846000000002</c:v>
                </c:pt>
                <c:pt idx="2">
                  <c:v>4.2974350000000001</c:v>
                </c:pt>
                <c:pt idx="3">
                  <c:v>13.062538</c:v>
                </c:pt>
                <c:pt idx="4">
                  <c:v>10.228357000000001</c:v>
                </c:pt>
                <c:pt idx="5">
                  <c:v>7.8400129999999999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5A-4548-99E5-BB5C811C3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181696"/>
        <c:axId val="385184440"/>
      </c:areaChart>
      <c:catAx>
        <c:axId val="3851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85184440"/>
        <c:crosses val="autoZero"/>
        <c:auto val="1"/>
        <c:lblAlgn val="ctr"/>
        <c:lblOffset val="100"/>
        <c:noMultiLvlLbl val="0"/>
      </c:catAx>
      <c:valAx>
        <c:axId val="385184440"/>
        <c:scaling>
          <c:orientation val="minMax"/>
        </c:scaling>
        <c:delete val="0"/>
        <c:axPos val="l"/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85181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>
                <a:solidFill>
                  <a:schemeClr val="accent6">
                    <a:lumMod val="75000"/>
                  </a:schemeClr>
                </a:solidFill>
              </a:rPr>
              <a:t>Проект включення Інвестиційної</a:t>
            </a:r>
            <a:r>
              <a:rPr lang="ru-RU" sz="1200" b="1" baseline="0">
                <a:solidFill>
                  <a:schemeClr val="accent6">
                    <a:lumMod val="75000"/>
                  </a:schemeClr>
                </a:solidFill>
              </a:rPr>
              <a:t> програми Розвитку обї'єкта концесії  в ТАРИФ на теплову енергію та у розрахунок ВНЕСКІВ на встановлення ВКО</a:t>
            </a:r>
            <a:endParaRPr lang="ru-RU" sz="1200" b="1">
              <a:solidFill>
                <a:schemeClr val="accent6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16423269452754471"/>
          <c:y val="0.10176858881957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5.9255412792858966E-2"/>
          <c:y val="0.12554463538772981"/>
          <c:w val="0.89308436481661113"/>
          <c:h val="0.73052755266905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1.267254764108152E-2"/>
                  <c:y val="-0.274348303965823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88-4D61-AA01-2466A1FCB7BB}"/>
                </c:ext>
              </c:extLst>
            </c:dLbl>
            <c:dLbl>
              <c:idx val="1"/>
              <c:layout>
                <c:manualLayout>
                  <c:x val="1.0862183692355571E-2"/>
                  <c:y val="-0.164608982379494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88-4D61-AA01-2466A1FCB7BB}"/>
                </c:ext>
              </c:extLst>
            </c:dLbl>
            <c:dLbl>
              <c:idx val="2"/>
              <c:layout>
                <c:manualLayout>
                  <c:x val="1.4482911589807452E-2"/>
                  <c:y val="-1.4631909544843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88-4D61-AA01-2466A1FCB7BB}"/>
                </c:ext>
              </c:extLst>
            </c:dLbl>
            <c:dLbl>
              <c:idx val="3"/>
              <c:layout>
                <c:manualLayout>
                  <c:x val="1.4482911589807452E-2"/>
                  <c:y val="-0.15363505022086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88-4D61-AA01-2466A1FCB7BB}"/>
                </c:ext>
              </c:extLst>
            </c:dLbl>
            <c:dLbl>
              <c:idx val="4"/>
              <c:layout>
                <c:manualLayout>
                  <c:x val="1.6293275538533384E-2"/>
                  <c:y val="-0.120713253744962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88-4D61-AA01-2466A1FCB7BB}"/>
                </c:ext>
              </c:extLst>
            </c:dLbl>
            <c:dLbl>
              <c:idx val="5"/>
              <c:layout>
                <c:manualLayout>
                  <c:x val="3.2586551077066768E-2"/>
                  <c:y val="-5.852763817937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88-4D61-AA01-2466A1FCB7B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88-4D61-AA01-2466A1FCB7B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88-4D61-AA01-2466A1FCB7B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88-4D61-AA01-2466A1FCB7B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88-4D61-AA01-2466A1FCB7B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88-4D61-AA01-2466A1FCB7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графік!$B$30:$B$40</c:f>
              <c:strCache>
                <c:ptCount val="11"/>
                <c:pt idx="0">
                  <c:v>2018-2020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  <c:pt idx="5">
                  <c:v>2024-2025</c:v>
                </c:pt>
                <c:pt idx="6">
                  <c:v>2025-2026</c:v>
                </c:pt>
                <c:pt idx="7">
                  <c:v>2026-2027</c:v>
                </c:pt>
                <c:pt idx="8">
                  <c:v>2027-2028</c:v>
                </c:pt>
                <c:pt idx="9">
                  <c:v>2028-2029</c:v>
                </c:pt>
                <c:pt idx="10">
                  <c:v>2029-2030</c:v>
                </c:pt>
              </c:strCache>
            </c:strRef>
          </c:cat>
          <c:val>
            <c:numRef>
              <c:f>графік!$C$30:$C$40</c:f>
              <c:numCache>
                <c:formatCode>#\ ##0.0</c:formatCode>
                <c:ptCount val="11"/>
                <c:pt idx="0">
                  <c:v>28.684035000000002</c:v>
                </c:pt>
                <c:pt idx="1">
                  <c:v>14.236846000000002</c:v>
                </c:pt>
                <c:pt idx="2">
                  <c:v>4.2974350000000001</c:v>
                </c:pt>
                <c:pt idx="3">
                  <c:v>13.062538</c:v>
                </c:pt>
                <c:pt idx="4">
                  <c:v>10.228357000000001</c:v>
                </c:pt>
                <c:pt idx="5">
                  <c:v>7.8400129999999999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88-4D61-AA01-2466A1FCB7BB}"/>
            </c:ext>
          </c:extLst>
        </c:ser>
        <c:ser>
          <c:idx val="1"/>
          <c:order val="1"/>
          <c:spPr>
            <a:solidFill>
              <a:schemeClr val="accent6">
                <a:lumMod val="60000"/>
                <a:lumOff val="40000"/>
                <a:alpha val="54000"/>
              </a:schemeClr>
            </a:solidFill>
            <a:ln>
              <a:noFill/>
            </a:ln>
            <a:effectLst/>
          </c:spPr>
          <c:dLbls>
            <c:dLbl>
              <c:idx val="2"/>
              <c:layout>
                <c:manualLayout>
                  <c:x val="-1.8103639487259314E-2"/>
                  <c:y val="-3.6579773862111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C88-4D61-AA01-2466A1FCB7BB}"/>
                </c:ext>
              </c:extLst>
            </c:dLbl>
            <c:dLbl>
              <c:idx val="3"/>
              <c:layout>
                <c:manualLayout>
                  <c:x val="0"/>
                  <c:y val="-3.2921796475898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88-4D61-AA01-2466A1FCB7BB}"/>
                </c:ext>
              </c:extLst>
            </c:dLbl>
            <c:dLbl>
              <c:idx val="4"/>
              <c:layout>
                <c:manualLayout>
                  <c:x val="0"/>
                  <c:y val="-2.1947864317265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C88-4D61-AA01-2466A1FCB7BB}"/>
                </c:ext>
              </c:extLst>
            </c:dLbl>
            <c:dLbl>
              <c:idx val="5"/>
              <c:layout>
                <c:manualLayout>
                  <c:x val="0"/>
                  <c:y val="-2.5605841703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88-4D61-AA01-2466A1FCB7BB}"/>
                </c:ext>
              </c:extLst>
            </c:dLbl>
            <c:dLbl>
              <c:idx val="6"/>
              <c:layout>
                <c:manualLayout>
                  <c:x val="-6.6379244634585768E-17"/>
                  <c:y val="-3.65797738621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C88-4D61-AA01-2466A1FCB7BB}"/>
                </c:ext>
              </c:extLst>
            </c:dLbl>
            <c:dLbl>
              <c:idx val="7"/>
              <c:layout>
                <c:manualLayout>
                  <c:x val="1.8103639487257986E-3"/>
                  <c:y val="-3.6579773862109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88-4D61-AA01-2466A1FCB7BB}"/>
                </c:ext>
              </c:extLst>
            </c:dLbl>
            <c:dLbl>
              <c:idx val="8"/>
              <c:layout>
                <c:manualLayout>
                  <c:x val="-1.3275848926917154E-16"/>
                  <c:y val="-2.926381908968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C88-4D61-AA01-2466A1FCB7BB}"/>
                </c:ext>
              </c:extLst>
            </c:dLbl>
            <c:dLbl>
              <c:idx val="9"/>
              <c:layout>
                <c:manualLayout>
                  <c:x val="-1.8103639487259315E-3"/>
                  <c:y val="-3.6579773862109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C88-4D61-AA01-2466A1FCB7BB}"/>
                </c:ext>
              </c:extLst>
            </c:dLbl>
            <c:dLbl>
              <c:idx val="10"/>
              <c:layout>
                <c:manualLayout>
                  <c:x val="-1.810359092052578E-2"/>
                  <c:y val="-4.9142287870950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C88-4D61-AA01-2466A1FCB7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графік!$B$30:$B$40</c:f>
              <c:strCache>
                <c:ptCount val="11"/>
                <c:pt idx="0">
                  <c:v>2018-2020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  <c:pt idx="5">
                  <c:v>2024-2025</c:v>
                </c:pt>
                <c:pt idx="6">
                  <c:v>2025-2026</c:v>
                </c:pt>
                <c:pt idx="7">
                  <c:v>2026-2027</c:v>
                </c:pt>
                <c:pt idx="8">
                  <c:v>2027-2028</c:v>
                </c:pt>
                <c:pt idx="9">
                  <c:v>2028-2029</c:v>
                </c:pt>
                <c:pt idx="10">
                  <c:v>2029-2030</c:v>
                </c:pt>
              </c:strCache>
            </c:strRef>
          </c:cat>
          <c:val>
            <c:numRef>
              <c:f>графік!$D$30:$D$40</c:f>
              <c:numCache>
                <c:formatCode>#\ ##0.0</c:formatCode>
                <c:ptCount val="11"/>
                <c:pt idx="1">
                  <c:v>8.8111999999999995</c:v>
                </c:pt>
                <c:pt idx="2">
                  <c:v>8.8111999999999995</c:v>
                </c:pt>
                <c:pt idx="3">
                  <c:v>8.8111999999999995</c:v>
                </c:pt>
                <c:pt idx="4">
                  <c:v>8.8111999999999995</c:v>
                </c:pt>
                <c:pt idx="5">
                  <c:v>8.8111999999999995</c:v>
                </c:pt>
                <c:pt idx="6">
                  <c:v>7.2</c:v>
                </c:pt>
                <c:pt idx="7">
                  <c:v>7.2</c:v>
                </c:pt>
                <c:pt idx="8">
                  <c:v>7.2</c:v>
                </c:pt>
                <c:pt idx="9">
                  <c:v>6.908101561333333</c:v>
                </c:pt>
                <c:pt idx="10">
                  <c:v>5.7848984386666666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C88-4D61-AA01-2466A1FCB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185224"/>
        <c:axId val="385182088"/>
      </c:areaChart>
      <c:catAx>
        <c:axId val="38518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85182088"/>
        <c:crosses val="autoZero"/>
        <c:auto val="1"/>
        <c:lblAlgn val="ctr"/>
        <c:lblOffset val="100"/>
        <c:noMultiLvlLbl val="0"/>
      </c:catAx>
      <c:valAx>
        <c:axId val="385182088"/>
        <c:scaling>
          <c:orientation val="minMax"/>
        </c:scaling>
        <c:delete val="0"/>
        <c:axPos val="l"/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85185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2.1296678020428651E-2"/>
                  <c:y val="-9.580554023103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7-4B5C-A763-287F0D4DF274}"/>
                </c:ext>
              </c:extLst>
            </c:dLbl>
            <c:dLbl>
              <c:idx val="1"/>
              <c:layout>
                <c:manualLayout>
                  <c:x val="1.3295342772776301E-2"/>
                  <c:y val="-0.124561245130982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7-4B5C-A763-287F0D4DF274}"/>
                </c:ext>
              </c:extLst>
            </c:dLbl>
            <c:dLbl>
              <c:idx val="2"/>
              <c:layout>
                <c:manualLayout>
                  <c:x val="0"/>
                  <c:y val="-0.126806470947721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7-4B5C-A763-287F0D4DF274}"/>
                </c:ext>
              </c:extLst>
            </c:dLbl>
            <c:dLbl>
              <c:idx val="3"/>
              <c:layout>
                <c:manualLayout>
                  <c:x val="3.856383152272031E-3"/>
                  <c:y val="-0.11543942357523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7-4B5C-A763-287F0D4DF274}"/>
                </c:ext>
              </c:extLst>
            </c:dLbl>
            <c:dLbl>
              <c:idx val="4"/>
              <c:layout>
                <c:manualLayout>
                  <c:x val="-3.7986704653371322E-3"/>
                  <c:y val="-0.149184083467907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7-4B5C-A763-287F0D4DF274}"/>
                </c:ext>
              </c:extLst>
            </c:dLbl>
            <c:dLbl>
              <c:idx val="5"/>
              <c:layout>
                <c:manualLayout>
                  <c:x val="-5.6980056980058371E-3"/>
                  <c:y val="-0.134265675121116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7-4B5C-A763-287F0D4DF274}"/>
                </c:ext>
              </c:extLst>
            </c:dLbl>
            <c:dLbl>
              <c:idx val="6"/>
              <c:layout>
                <c:manualLayout>
                  <c:x val="-1.3505063871842306E-16"/>
                  <c:y val="-0.10191082802547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7-4B5C-A763-287F0D4DF274}"/>
                </c:ext>
              </c:extLst>
            </c:dLbl>
            <c:dLbl>
              <c:idx val="7"/>
              <c:layout>
                <c:manualLayout>
                  <c:x val="-5.5248626796106032E-3"/>
                  <c:y val="-0.10191082802547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7-4B5C-A763-287F0D4DF274}"/>
                </c:ext>
              </c:extLst>
            </c:dLbl>
            <c:dLbl>
              <c:idx val="8"/>
              <c:layout>
                <c:manualLayout>
                  <c:x val="-1.3505063871842306E-16"/>
                  <c:y val="-7.643312101910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97-4B5C-A763-287F0D4DF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графік!$M$5:$M$14</c:f>
              <c:strCache>
                <c:ptCount val="10"/>
                <c:pt idx="0">
                  <c:v>2020-2021</c:v>
                </c:pt>
                <c:pt idx="1">
                  <c:v>2021-2022</c:v>
                </c:pt>
                <c:pt idx="2">
                  <c:v>2022-2023</c:v>
                </c:pt>
                <c:pt idx="3">
                  <c:v>2023-2024</c:v>
                </c:pt>
                <c:pt idx="4">
                  <c:v>2024-2025</c:v>
                </c:pt>
                <c:pt idx="5">
                  <c:v>2025-2026</c:v>
                </c:pt>
                <c:pt idx="6">
                  <c:v>2026-2027</c:v>
                </c:pt>
                <c:pt idx="7">
                  <c:v>2027-2028</c:v>
                </c:pt>
                <c:pt idx="8">
                  <c:v>2028-2029</c:v>
                </c:pt>
                <c:pt idx="9">
                  <c:v>2029-2030</c:v>
                </c:pt>
              </c:strCache>
            </c:strRef>
          </c:cat>
          <c:val>
            <c:numRef>
              <c:f>графік!$O$5:$O$14</c:f>
              <c:numCache>
                <c:formatCode>General</c:formatCode>
                <c:ptCount val="10"/>
                <c:pt idx="0">
                  <c:v>7.2</c:v>
                </c:pt>
                <c:pt idx="1">
                  <c:v>7.2</c:v>
                </c:pt>
                <c:pt idx="2">
                  <c:v>7.2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7.2</c:v>
                </c:pt>
                <c:pt idx="7">
                  <c:v>7.2</c:v>
                </c:pt>
                <c:pt idx="8" formatCode="0.0">
                  <c:v>6.908101561333333</c:v>
                </c:pt>
                <c:pt idx="9" formatCode="0.0">
                  <c:v>5.7848984386666666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97-4B5C-A763-287F0D4DF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182872"/>
        <c:axId val="385186008"/>
      </c:areaChart>
      <c:catAx>
        <c:axId val="385182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85186008"/>
        <c:crosses val="autoZero"/>
        <c:auto val="1"/>
        <c:lblAlgn val="ctr"/>
        <c:lblOffset val="100"/>
        <c:noMultiLvlLbl val="0"/>
      </c:catAx>
      <c:valAx>
        <c:axId val="385186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85182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2.1296678020428651E-2"/>
                  <c:y val="-9.580554023103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7-4B5C-A763-287F0D4DF274}"/>
                </c:ext>
              </c:extLst>
            </c:dLbl>
            <c:dLbl>
              <c:idx val="1"/>
              <c:layout>
                <c:manualLayout>
                  <c:x val="1.3295342772776301E-2"/>
                  <c:y val="-0.124561245130982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7-4B5C-A763-287F0D4DF274}"/>
                </c:ext>
              </c:extLst>
            </c:dLbl>
            <c:dLbl>
              <c:idx val="2"/>
              <c:layout>
                <c:manualLayout>
                  <c:x val="0"/>
                  <c:y val="-0.126806470947721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7-4B5C-A763-287F0D4DF274}"/>
                </c:ext>
              </c:extLst>
            </c:dLbl>
            <c:dLbl>
              <c:idx val="3"/>
              <c:layout>
                <c:manualLayout>
                  <c:x val="3.856383152272031E-3"/>
                  <c:y val="-0.11543942357523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7-4B5C-A763-287F0D4DF274}"/>
                </c:ext>
              </c:extLst>
            </c:dLbl>
            <c:dLbl>
              <c:idx val="4"/>
              <c:layout>
                <c:manualLayout>
                  <c:x val="-3.7986704653371322E-3"/>
                  <c:y val="-0.149184083467907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7-4B5C-A763-287F0D4DF274}"/>
                </c:ext>
              </c:extLst>
            </c:dLbl>
            <c:dLbl>
              <c:idx val="5"/>
              <c:layout>
                <c:manualLayout>
                  <c:x val="-5.6980056980058371E-3"/>
                  <c:y val="-0.134265675121116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7-4B5C-A763-287F0D4DF274}"/>
                </c:ext>
              </c:extLst>
            </c:dLbl>
            <c:dLbl>
              <c:idx val="6"/>
              <c:layout>
                <c:manualLayout>
                  <c:x val="-1.3505063871842306E-16"/>
                  <c:y val="-0.10191082802547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7-4B5C-A763-287F0D4DF274}"/>
                </c:ext>
              </c:extLst>
            </c:dLbl>
            <c:dLbl>
              <c:idx val="7"/>
              <c:layout>
                <c:manualLayout>
                  <c:x val="-5.5248626796106032E-3"/>
                  <c:y val="-0.10191082802547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7-4B5C-A763-287F0D4DF274}"/>
                </c:ext>
              </c:extLst>
            </c:dLbl>
            <c:dLbl>
              <c:idx val="8"/>
              <c:layout>
                <c:manualLayout>
                  <c:x val="-1.3505063871842306E-16"/>
                  <c:y val="-7.643312101910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97-4B5C-A763-287F0D4DF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графік!$M$5:$M$14</c:f>
              <c:strCache>
                <c:ptCount val="10"/>
                <c:pt idx="0">
                  <c:v>2020-2021</c:v>
                </c:pt>
                <c:pt idx="1">
                  <c:v>2021-2022</c:v>
                </c:pt>
                <c:pt idx="2">
                  <c:v>2022-2023</c:v>
                </c:pt>
                <c:pt idx="3">
                  <c:v>2023-2024</c:v>
                </c:pt>
                <c:pt idx="4">
                  <c:v>2024-2025</c:v>
                </c:pt>
                <c:pt idx="5">
                  <c:v>2025-2026</c:v>
                </c:pt>
                <c:pt idx="6">
                  <c:v>2026-2027</c:v>
                </c:pt>
                <c:pt idx="7">
                  <c:v>2027-2028</c:v>
                </c:pt>
                <c:pt idx="8">
                  <c:v>2028-2029</c:v>
                </c:pt>
                <c:pt idx="9">
                  <c:v>2029-2030</c:v>
                </c:pt>
              </c:strCache>
            </c:strRef>
          </c:cat>
          <c:val>
            <c:numRef>
              <c:f>графік!$N$5:$N$14</c:f>
              <c:numCache>
                <c:formatCode>0.0</c:formatCode>
                <c:ptCount val="10"/>
                <c:pt idx="0">
                  <c:v>1.6112</c:v>
                </c:pt>
                <c:pt idx="1">
                  <c:v>1.6112</c:v>
                </c:pt>
                <c:pt idx="2">
                  <c:v>1.6112</c:v>
                </c:pt>
                <c:pt idx="3">
                  <c:v>1.6112</c:v>
                </c:pt>
                <c:pt idx="4">
                  <c:v>1.6112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97-4B5C-A763-287F0D4DF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183656"/>
        <c:axId val="385184048"/>
      </c:areaChart>
      <c:catAx>
        <c:axId val="385183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85184048"/>
        <c:crosses val="autoZero"/>
        <c:auto val="1"/>
        <c:lblAlgn val="ctr"/>
        <c:lblOffset val="100"/>
        <c:noMultiLvlLbl val="0"/>
      </c:catAx>
      <c:valAx>
        <c:axId val="3851840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85183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48193058229871E-2"/>
          <c:y val="0.36084063527430421"/>
          <c:w val="0.89267754687842726"/>
          <c:h val="0.51343723957256715"/>
        </c:manualLayout>
      </c:layout>
      <c:areaChart>
        <c:grouping val="stack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1.078167115902965E-2"/>
                  <c:y val="-1.3400327938734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90-44ED-89AE-EBD8EC9A62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90-44ED-89AE-EBD8EC9A62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90-44ED-89AE-EBD8EC9A62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90-44ED-89AE-EBD8EC9A62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90-44ED-89AE-EBD8EC9A62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90-44ED-89AE-EBD8EC9A62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графік!$M$5:$M$14</c:f>
              <c:strCache>
                <c:ptCount val="10"/>
                <c:pt idx="0">
                  <c:v>2020-2021</c:v>
                </c:pt>
                <c:pt idx="1">
                  <c:v>2021-2022</c:v>
                </c:pt>
                <c:pt idx="2">
                  <c:v>2022-2023</c:v>
                </c:pt>
                <c:pt idx="3">
                  <c:v>2023-2024</c:v>
                </c:pt>
                <c:pt idx="4">
                  <c:v>2024-2025</c:v>
                </c:pt>
                <c:pt idx="5">
                  <c:v>2025-2026</c:v>
                </c:pt>
                <c:pt idx="6">
                  <c:v>2026-2027</c:v>
                </c:pt>
                <c:pt idx="7">
                  <c:v>2027-2028</c:v>
                </c:pt>
                <c:pt idx="8">
                  <c:v>2028-2029</c:v>
                </c:pt>
                <c:pt idx="9">
                  <c:v>2029-2030</c:v>
                </c:pt>
              </c:strCache>
            </c:strRef>
          </c:cat>
          <c:val>
            <c:numRef>
              <c:f>графік!$N$5:$N$14</c:f>
              <c:numCache>
                <c:formatCode>0.0</c:formatCode>
                <c:ptCount val="10"/>
                <c:pt idx="0">
                  <c:v>1.6112</c:v>
                </c:pt>
                <c:pt idx="1">
                  <c:v>1.6112</c:v>
                </c:pt>
                <c:pt idx="2">
                  <c:v>1.6112</c:v>
                </c:pt>
                <c:pt idx="3">
                  <c:v>1.6112</c:v>
                </c:pt>
                <c:pt idx="4">
                  <c:v>1.6112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90-44ED-89AE-EBD8EC9A62FD}"/>
            </c:ext>
          </c:extLst>
        </c:ser>
        <c:ser>
          <c:idx val="1"/>
          <c:order val="1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2.3026372547640284E-2"/>
                  <c:y val="-8.1582010010743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90-44ED-89AE-EBD8EC9A62FD}"/>
                </c:ext>
              </c:extLst>
            </c:dLbl>
            <c:dLbl>
              <c:idx val="1"/>
              <c:layout>
                <c:manualLayout>
                  <c:x val="0"/>
                  <c:y val="-6.8181858853411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90-44ED-89AE-EBD8EC9A62FD}"/>
                </c:ext>
              </c:extLst>
            </c:dLbl>
            <c:dLbl>
              <c:idx val="2"/>
              <c:layout>
                <c:manualLayout>
                  <c:x val="0"/>
                  <c:y val="-7.575762094823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90-44ED-89AE-EBD8EC9A62FD}"/>
                </c:ext>
              </c:extLst>
            </c:dLbl>
            <c:dLbl>
              <c:idx val="3"/>
              <c:layout>
                <c:manualLayout>
                  <c:x val="-5.0568906838270632E-3"/>
                  <c:y val="-8.333338304305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90-44ED-89AE-EBD8EC9A62FD}"/>
                </c:ext>
              </c:extLst>
            </c:dLbl>
            <c:dLbl>
              <c:idx val="4"/>
              <c:layout>
                <c:manualLayout>
                  <c:x val="-8.4281511397116694E-3"/>
                  <c:y val="-6.8181858853411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90-44ED-89AE-EBD8EC9A62FD}"/>
                </c:ext>
              </c:extLst>
            </c:dLbl>
            <c:dLbl>
              <c:idx val="5"/>
              <c:layout>
                <c:manualLayout>
                  <c:x val="6.1805727706178355E-17"/>
                  <c:y val="-0.10606066932752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90-44ED-89AE-EBD8EC9A62FD}"/>
                </c:ext>
              </c:extLst>
            </c:dLbl>
            <c:dLbl>
              <c:idx val="6"/>
              <c:layout>
                <c:manualLayout>
                  <c:x val="-6.7425209117693355E-3"/>
                  <c:y val="-6.8181858853411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90-44ED-89AE-EBD8EC9A62FD}"/>
                </c:ext>
              </c:extLst>
            </c:dLbl>
            <c:dLbl>
              <c:idx val="7"/>
              <c:layout>
                <c:manualLayout>
                  <c:x val="-1.6856302279424575E-3"/>
                  <c:y val="-6.8181858853411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90-44ED-89AE-EBD8EC9A62FD}"/>
                </c:ext>
              </c:extLst>
            </c:dLbl>
            <c:dLbl>
              <c:idx val="8"/>
              <c:layout>
                <c:manualLayout>
                  <c:x val="-1.6856302279423339E-3"/>
                  <c:y val="-5.3030334663764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90-44ED-89AE-EBD8EC9A62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графік!$M$5:$M$14</c:f>
              <c:strCache>
                <c:ptCount val="10"/>
                <c:pt idx="0">
                  <c:v>2020-2021</c:v>
                </c:pt>
                <c:pt idx="1">
                  <c:v>2021-2022</c:v>
                </c:pt>
                <c:pt idx="2">
                  <c:v>2022-2023</c:v>
                </c:pt>
                <c:pt idx="3">
                  <c:v>2023-2024</c:v>
                </c:pt>
                <c:pt idx="4">
                  <c:v>2024-2025</c:v>
                </c:pt>
                <c:pt idx="5">
                  <c:v>2025-2026</c:v>
                </c:pt>
                <c:pt idx="6">
                  <c:v>2026-2027</c:v>
                </c:pt>
                <c:pt idx="7">
                  <c:v>2027-2028</c:v>
                </c:pt>
                <c:pt idx="8">
                  <c:v>2028-2029</c:v>
                </c:pt>
                <c:pt idx="9">
                  <c:v>2029-2030</c:v>
                </c:pt>
              </c:strCache>
            </c:strRef>
          </c:cat>
          <c:val>
            <c:numRef>
              <c:f>графік!$O$5:$O$14</c:f>
              <c:numCache>
                <c:formatCode>General</c:formatCode>
                <c:ptCount val="10"/>
                <c:pt idx="0">
                  <c:v>7.2</c:v>
                </c:pt>
                <c:pt idx="1">
                  <c:v>7.2</c:v>
                </c:pt>
                <c:pt idx="2">
                  <c:v>7.2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7.2</c:v>
                </c:pt>
                <c:pt idx="7">
                  <c:v>7.2</c:v>
                </c:pt>
                <c:pt idx="8" formatCode="0.0">
                  <c:v>6.908101561333333</c:v>
                </c:pt>
                <c:pt idx="9" formatCode="0.0">
                  <c:v>5.7848984386666666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990-44ED-89AE-EBD8EC9A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181304"/>
        <c:axId val="388698008"/>
      </c:areaChart>
      <c:catAx>
        <c:axId val="385181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88698008"/>
        <c:crosses val="autoZero"/>
        <c:auto val="1"/>
        <c:lblAlgn val="ctr"/>
        <c:lblOffset val="100"/>
        <c:noMultiLvlLbl val="0"/>
      </c:catAx>
      <c:valAx>
        <c:axId val="3886980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385181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109534</xdr:rowOff>
    </xdr:from>
    <xdr:to>
      <xdr:col>9</xdr:col>
      <xdr:colOff>228600</xdr:colOff>
      <xdr:row>23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195261</xdr:colOff>
      <xdr:row>24</xdr:row>
      <xdr:rowOff>123825</xdr:rowOff>
    </xdr:from>
    <xdr:to>
      <xdr:col>17</xdr:col>
      <xdr:colOff>657225</xdr:colOff>
      <xdr:row>45</xdr:row>
      <xdr:rowOff>38100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23</xdr:col>
      <xdr:colOff>270185</xdr:colOff>
      <xdr:row>13</xdr:row>
      <xdr:rowOff>100542</xdr:rowOff>
    </xdr:from>
    <xdr:ext cx="914738" cy="2995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 rot="10800000" flipV="1">
          <a:off x="14852960" y="2853267"/>
          <a:ext cx="914738" cy="299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200" b="1">
              <a:solidFill>
                <a:schemeClr val="accent6">
                  <a:lumMod val="50000"/>
                </a:schemeClr>
              </a:solidFill>
            </a:rPr>
            <a:t>78,3 </a:t>
          </a:r>
          <a:r>
            <a:rPr lang="ru-RU" sz="1200" b="0">
              <a:solidFill>
                <a:schemeClr val="accent6">
                  <a:lumMod val="50000"/>
                </a:schemeClr>
              </a:solidFill>
            </a:rPr>
            <a:t>млн.грн</a:t>
          </a:r>
        </a:p>
      </xdr:txBody>
    </xdr:sp>
    <xdr:clientData/>
  </xdr:oneCellAnchor>
  <xdr:oneCellAnchor>
    <xdr:from>
      <xdr:col>6</xdr:col>
      <xdr:colOff>9525</xdr:colOff>
      <xdr:row>15</xdr:row>
      <xdr:rowOff>19050</xdr:rowOff>
    </xdr:from>
    <xdr:ext cx="914738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4657725" y="3152775"/>
          <a:ext cx="91473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>
              <a:solidFill>
                <a:schemeClr val="accent6">
                  <a:lumMod val="75000"/>
                </a:schemeClr>
              </a:solidFill>
            </a:rPr>
            <a:t>78,3 </a:t>
          </a:r>
          <a:r>
            <a:rPr lang="ru-RU" sz="1000" b="0">
              <a:solidFill>
                <a:schemeClr val="accent6">
                  <a:lumMod val="75000"/>
                </a:schemeClr>
              </a:solidFill>
            </a:rPr>
            <a:t>млн.грн</a:t>
          </a:r>
        </a:p>
      </xdr:txBody>
    </xdr:sp>
    <xdr:clientData/>
  </xdr:oneCellAnchor>
  <xdr:oneCellAnchor>
    <xdr:from>
      <xdr:col>5</xdr:col>
      <xdr:colOff>409575</xdr:colOff>
      <xdr:row>34</xdr:row>
      <xdr:rowOff>95250</xdr:rowOff>
    </xdr:from>
    <xdr:ext cx="1004762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4448175" y="6086475"/>
          <a:ext cx="10047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0" i="1">
              <a:solidFill>
                <a:srgbClr val="0070C0"/>
              </a:solidFill>
            </a:rPr>
            <a:t>виконання ІП</a:t>
          </a:r>
        </a:p>
      </xdr:txBody>
    </xdr:sp>
    <xdr:clientData/>
  </xdr:oneCellAnchor>
  <xdr:oneCellAnchor>
    <xdr:from>
      <xdr:col>10</xdr:col>
      <xdr:colOff>228600</xdr:colOff>
      <xdr:row>40</xdr:row>
      <xdr:rowOff>95250</xdr:rowOff>
    </xdr:from>
    <xdr:ext cx="3899657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7315200" y="7991475"/>
          <a:ext cx="38996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0" i="1">
              <a:solidFill>
                <a:schemeClr val="accent6">
                  <a:lumMod val="75000"/>
                </a:schemeClr>
              </a:solidFill>
            </a:rPr>
            <a:t>включення ІП в тариф на ТЕ і</a:t>
          </a:r>
          <a:r>
            <a:rPr lang="ru-RU" sz="1100" b="0" i="1" baseline="0">
              <a:solidFill>
                <a:schemeClr val="accent6">
                  <a:lumMod val="75000"/>
                </a:schemeClr>
              </a:solidFill>
            </a:rPr>
            <a:t>  внески на встановлення ВКО</a:t>
          </a:r>
          <a:endParaRPr lang="ru-RU" sz="1100" b="0" i="1">
            <a:solidFill>
              <a:schemeClr val="accent6">
                <a:lumMod val="75000"/>
              </a:schemeClr>
            </a:solidFill>
          </a:endParaRPr>
        </a:p>
      </xdr:txBody>
    </xdr:sp>
    <xdr:clientData/>
  </xdr:oneCellAnchor>
  <xdr:twoCellAnchor>
    <xdr:from>
      <xdr:col>28</xdr:col>
      <xdr:colOff>314324</xdr:colOff>
      <xdr:row>10</xdr:row>
      <xdr:rowOff>142875</xdr:rowOff>
    </xdr:from>
    <xdr:to>
      <xdr:col>40</xdr:col>
      <xdr:colOff>116157</xdr:colOff>
      <xdr:row>16</xdr:row>
      <xdr:rowOff>162619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33</xdr:col>
      <xdr:colOff>232085</xdr:colOff>
      <xdr:row>13</xdr:row>
      <xdr:rowOff>7433</xdr:rowOff>
    </xdr:from>
    <xdr:ext cx="914738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20844185" y="2760158"/>
          <a:ext cx="91473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>
              <a:solidFill>
                <a:schemeClr val="accent6">
                  <a:lumMod val="75000"/>
                </a:schemeClr>
              </a:solidFill>
            </a:rPr>
            <a:t>78,3 </a:t>
          </a:r>
          <a:r>
            <a:rPr lang="ru-RU" sz="1000" b="0">
              <a:solidFill>
                <a:schemeClr val="accent6">
                  <a:lumMod val="75000"/>
                </a:schemeClr>
              </a:solidFill>
            </a:rPr>
            <a:t>млн.грн</a:t>
          </a:r>
        </a:p>
      </xdr:txBody>
    </xdr:sp>
    <xdr:clientData/>
  </xdr:oneCellAnchor>
  <xdr:twoCellAnchor>
    <xdr:from>
      <xdr:col>43</xdr:col>
      <xdr:colOff>119178</xdr:colOff>
      <xdr:row>10</xdr:row>
      <xdr:rowOff>104541</xdr:rowOff>
    </xdr:from>
    <xdr:to>
      <xdr:col>55</xdr:col>
      <xdr:colOff>116158</xdr:colOff>
      <xdr:row>16</xdr:row>
      <xdr:rowOff>162619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48</xdr:col>
      <xdr:colOff>232085</xdr:colOff>
      <xdr:row>13</xdr:row>
      <xdr:rowOff>7433</xdr:rowOff>
    </xdr:from>
    <xdr:ext cx="914738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29988185" y="2760158"/>
          <a:ext cx="91473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>
              <a:solidFill>
                <a:schemeClr val="accent6">
                  <a:lumMod val="75000"/>
                </a:schemeClr>
              </a:solidFill>
            </a:rPr>
            <a:t>78,3 </a:t>
          </a:r>
          <a:r>
            <a:rPr lang="ru-RU" sz="1000" b="0">
              <a:solidFill>
                <a:schemeClr val="accent6">
                  <a:lumMod val="75000"/>
                </a:schemeClr>
              </a:solidFill>
            </a:rPr>
            <a:t>млн.грн</a:t>
          </a:r>
        </a:p>
      </xdr:txBody>
    </xdr:sp>
    <xdr:clientData/>
  </xdr:oneCellAnchor>
  <xdr:twoCellAnchor>
    <xdr:from>
      <xdr:col>14</xdr:col>
      <xdr:colOff>485775</xdr:colOff>
      <xdr:row>11</xdr:row>
      <xdr:rowOff>85724</xdr:rowOff>
    </xdr:from>
    <xdr:to>
      <xdr:col>27</xdr:col>
      <xdr:colOff>95249</xdr:colOff>
      <xdr:row>20</xdr:row>
      <xdr:rowOff>47623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571499</xdr:colOff>
      <xdr:row>16</xdr:row>
      <xdr:rowOff>180975</xdr:rowOff>
    </xdr:from>
    <xdr:to>
      <xdr:col>23</xdr:col>
      <xdr:colOff>152400</xdr:colOff>
      <xdr:row>19</xdr:row>
      <xdr:rowOff>85725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13325474" y="3505200"/>
          <a:ext cx="1409701" cy="4762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u-RU" sz="1100" b="1">
              <a:solidFill>
                <a:schemeClr val="accent6">
                  <a:lumMod val="50000"/>
                </a:schemeClr>
              </a:solidFill>
            </a:rPr>
            <a:t>70,3</a:t>
          </a:r>
          <a:r>
            <a:rPr lang="ru-RU" sz="1100">
              <a:solidFill>
                <a:schemeClr val="accent6">
                  <a:lumMod val="50000"/>
                </a:schemeClr>
              </a:solidFill>
            </a:rPr>
            <a:t> </a:t>
          </a:r>
          <a:r>
            <a:rPr lang="ru-RU" sz="1000" b="0">
              <a:solidFill>
                <a:schemeClr val="accent6">
                  <a:lumMod val="50000"/>
                </a:schemeClr>
              </a:solidFill>
            </a:rPr>
            <a:t>млн.грн </a:t>
          </a:r>
          <a:r>
            <a:rPr lang="ru-RU" sz="1000" b="1">
              <a:solidFill>
                <a:schemeClr val="accent6">
                  <a:lumMod val="50000"/>
                </a:schemeClr>
              </a:solidFill>
            </a:rPr>
            <a:t>ТАРИФ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0.17826</cdr:x>
      <cdr:y>0.65341</cdr:y>
    </cdr:from>
    <cdr:to>
      <cdr:x>0.37927</cdr:x>
      <cdr:y>0.83523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43024" y="1095375"/>
          <a:ext cx="1514475" cy="304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>
              <a:solidFill>
                <a:schemeClr val="accent6">
                  <a:lumMod val="50000"/>
                </a:schemeClr>
              </a:solidFill>
            </a:rPr>
            <a:t>8,1</a:t>
          </a:r>
          <a:r>
            <a:rPr lang="ru-RU" sz="1100">
              <a:solidFill>
                <a:schemeClr val="accent6">
                  <a:lumMod val="50000"/>
                </a:schemeClr>
              </a:solidFill>
            </a:rPr>
            <a:t> </a:t>
          </a:r>
          <a:r>
            <a:rPr lang="ru-RU" sz="1000" b="0">
              <a:solidFill>
                <a:schemeClr val="accent6">
                  <a:lumMod val="50000"/>
                </a:schemeClr>
              </a:solidFill>
            </a:rPr>
            <a:t>млн.грн </a:t>
          </a:r>
          <a:r>
            <a:rPr lang="ru-RU" sz="1000" b="1">
              <a:solidFill>
                <a:schemeClr val="accent6">
                  <a:lumMod val="50000"/>
                </a:schemeClr>
              </a:solidFill>
            </a:rPr>
            <a:t>ВНЕСКИ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zakon.rada.gov.ua/laws/show/2755-17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zakon.rada.gov.ua/laws/show/2755-17" TargetMode="External"/><Relationship Id="rId1" Type="http://schemas.openxmlformats.org/officeDocument/2006/relationships/hyperlink" Target="https://zakon.rada.gov.ua/laws/show/2755-17" TargetMode="External"/><Relationship Id="rId6" Type="http://schemas.openxmlformats.org/officeDocument/2006/relationships/hyperlink" Target="https://zakon.rada.gov.ua/laws/show/2755-17" TargetMode="External"/><Relationship Id="rId5" Type="http://schemas.openxmlformats.org/officeDocument/2006/relationships/hyperlink" Target="https://zakon.rada.gov.ua/laws/show/2755-17" TargetMode="External"/><Relationship Id="rId4" Type="http://schemas.openxmlformats.org/officeDocument/2006/relationships/hyperlink" Target="https://zakon.rada.gov.ua/laws/show/2755-17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zakon.rada.gov.ua/laws/show/2755-17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s://zakon.rada.gov.ua/laws/show/2755-17" TargetMode="External"/><Relationship Id="rId1" Type="http://schemas.openxmlformats.org/officeDocument/2006/relationships/hyperlink" Target="https://zakon.rada.gov.ua/laws/show/2755-17" TargetMode="External"/><Relationship Id="rId6" Type="http://schemas.openxmlformats.org/officeDocument/2006/relationships/hyperlink" Target="https://zakon.rada.gov.ua/laws/show/2755-17" TargetMode="External"/><Relationship Id="rId5" Type="http://schemas.openxmlformats.org/officeDocument/2006/relationships/hyperlink" Target="https://zakon.rada.gov.ua/laws/show/2755-17" TargetMode="External"/><Relationship Id="rId4" Type="http://schemas.openxmlformats.org/officeDocument/2006/relationships/hyperlink" Target="https://zakon.rada.gov.ua/laws/show/2755-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X22" sqref="X22"/>
    </sheetView>
  </sheetViews>
  <sheetFormatPr defaultRowHeight="12.75" x14ac:dyDescent="0.2"/>
  <cols>
    <col min="1" max="1" width="10.85546875" style="39" customWidth="1"/>
    <col min="2" max="2" width="52.42578125" style="39" customWidth="1"/>
    <col min="3" max="3" width="14.28515625" style="31" customWidth="1"/>
    <col min="4" max="4" width="11.85546875" style="31" customWidth="1"/>
    <col min="5" max="5" width="10.28515625" style="31" customWidth="1"/>
    <col min="6" max="6" width="12.28515625" style="31" customWidth="1"/>
    <col min="7" max="7" width="11.5703125" style="31" customWidth="1"/>
    <col min="8" max="8" width="11.7109375" style="31" hidden="1" customWidth="1"/>
    <col min="9" max="9" width="11.42578125" style="31" hidden="1" customWidth="1"/>
    <col min="10" max="10" width="12.28515625" style="31" hidden="1" customWidth="1"/>
    <col min="11" max="11" width="13.42578125" style="31" hidden="1" customWidth="1"/>
    <col min="12" max="12" width="13.28515625" style="31" hidden="1" customWidth="1"/>
    <col min="13" max="13" width="14.28515625" style="31" customWidth="1"/>
    <col min="14" max="14" width="8.85546875" style="31" customWidth="1"/>
    <col min="15" max="17" width="7.5703125" style="31" customWidth="1"/>
    <col min="18" max="19" width="7.42578125" style="31" customWidth="1"/>
    <col min="20" max="20" width="9.140625" style="31" customWidth="1"/>
    <col min="21" max="25" width="9.140625" style="30" customWidth="1"/>
    <col min="26" max="257" width="9.140625" style="31"/>
    <col min="258" max="258" width="10.85546875" style="31" customWidth="1"/>
    <col min="259" max="259" width="52.42578125" style="31" customWidth="1"/>
    <col min="260" max="260" width="14.28515625" style="31" customWidth="1"/>
    <col min="261" max="261" width="11.85546875" style="31" customWidth="1"/>
    <col min="262" max="262" width="10.28515625" style="31" customWidth="1"/>
    <col min="263" max="263" width="12.28515625" style="31" customWidth="1"/>
    <col min="264" max="264" width="11.5703125" style="31" customWidth="1"/>
    <col min="265" max="269" width="0" style="31" hidden="1" customWidth="1"/>
    <col min="270" max="270" width="14.28515625" style="31" customWidth="1"/>
    <col min="271" max="273" width="7.5703125" style="31" customWidth="1"/>
    <col min="274" max="275" width="7.42578125" style="31" customWidth="1"/>
    <col min="276" max="513" width="9.140625" style="31"/>
    <col min="514" max="514" width="10.85546875" style="31" customWidth="1"/>
    <col min="515" max="515" width="52.42578125" style="31" customWidth="1"/>
    <col min="516" max="516" width="14.28515625" style="31" customWidth="1"/>
    <col min="517" max="517" width="11.85546875" style="31" customWidth="1"/>
    <col min="518" max="518" width="10.28515625" style="31" customWidth="1"/>
    <col min="519" max="519" width="12.28515625" style="31" customWidth="1"/>
    <col min="520" max="520" width="11.5703125" style="31" customWidth="1"/>
    <col min="521" max="525" width="0" style="31" hidden="1" customWidth="1"/>
    <col min="526" max="526" width="14.28515625" style="31" customWidth="1"/>
    <col min="527" max="529" width="7.5703125" style="31" customWidth="1"/>
    <col min="530" max="531" width="7.42578125" style="31" customWidth="1"/>
    <col min="532" max="769" width="9.140625" style="31"/>
    <col min="770" max="770" width="10.85546875" style="31" customWidth="1"/>
    <col min="771" max="771" width="52.42578125" style="31" customWidth="1"/>
    <col min="772" max="772" width="14.28515625" style="31" customWidth="1"/>
    <col min="773" max="773" width="11.85546875" style="31" customWidth="1"/>
    <col min="774" max="774" width="10.28515625" style="31" customWidth="1"/>
    <col min="775" max="775" width="12.28515625" style="31" customWidth="1"/>
    <col min="776" max="776" width="11.5703125" style="31" customWidth="1"/>
    <col min="777" max="781" width="0" style="31" hidden="1" customWidth="1"/>
    <col min="782" max="782" width="14.28515625" style="31" customWidth="1"/>
    <col min="783" max="785" width="7.5703125" style="31" customWidth="1"/>
    <col min="786" max="787" width="7.42578125" style="31" customWidth="1"/>
    <col min="788" max="1025" width="9.140625" style="31"/>
    <col min="1026" max="1026" width="10.85546875" style="31" customWidth="1"/>
    <col min="1027" max="1027" width="52.42578125" style="31" customWidth="1"/>
    <col min="1028" max="1028" width="14.28515625" style="31" customWidth="1"/>
    <col min="1029" max="1029" width="11.85546875" style="31" customWidth="1"/>
    <col min="1030" max="1030" width="10.28515625" style="31" customWidth="1"/>
    <col min="1031" max="1031" width="12.28515625" style="31" customWidth="1"/>
    <col min="1032" max="1032" width="11.5703125" style="31" customWidth="1"/>
    <col min="1033" max="1037" width="0" style="31" hidden="1" customWidth="1"/>
    <col min="1038" max="1038" width="14.28515625" style="31" customWidth="1"/>
    <col min="1039" max="1041" width="7.5703125" style="31" customWidth="1"/>
    <col min="1042" max="1043" width="7.42578125" style="31" customWidth="1"/>
    <col min="1044" max="1281" width="9.140625" style="31"/>
    <col min="1282" max="1282" width="10.85546875" style="31" customWidth="1"/>
    <col min="1283" max="1283" width="52.42578125" style="31" customWidth="1"/>
    <col min="1284" max="1284" width="14.28515625" style="31" customWidth="1"/>
    <col min="1285" max="1285" width="11.85546875" style="31" customWidth="1"/>
    <col min="1286" max="1286" width="10.28515625" style="31" customWidth="1"/>
    <col min="1287" max="1287" width="12.28515625" style="31" customWidth="1"/>
    <col min="1288" max="1288" width="11.5703125" style="31" customWidth="1"/>
    <col min="1289" max="1293" width="0" style="31" hidden="1" customWidth="1"/>
    <col min="1294" max="1294" width="14.28515625" style="31" customWidth="1"/>
    <col min="1295" max="1297" width="7.5703125" style="31" customWidth="1"/>
    <col min="1298" max="1299" width="7.42578125" style="31" customWidth="1"/>
    <col min="1300" max="1537" width="9.140625" style="31"/>
    <col min="1538" max="1538" width="10.85546875" style="31" customWidth="1"/>
    <col min="1539" max="1539" width="52.42578125" style="31" customWidth="1"/>
    <col min="1540" max="1540" width="14.28515625" style="31" customWidth="1"/>
    <col min="1541" max="1541" width="11.85546875" style="31" customWidth="1"/>
    <col min="1542" max="1542" width="10.28515625" style="31" customWidth="1"/>
    <col min="1543" max="1543" width="12.28515625" style="31" customWidth="1"/>
    <col min="1544" max="1544" width="11.5703125" style="31" customWidth="1"/>
    <col min="1545" max="1549" width="0" style="31" hidden="1" customWidth="1"/>
    <col min="1550" max="1550" width="14.28515625" style="31" customWidth="1"/>
    <col min="1551" max="1553" width="7.5703125" style="31" customWidth="1"/>
    <col min="1554" max="1555" width="7.42578125" style="31" customWidth="1"/>
    <col min="1556" max="1793" width="9.140625" style="31"/>
    <col min="1794" max="1794" width="10.85546875" style="31" customWidth="1"/>
    <col min="1795" max="1795" width="52.42578125" style="31" customWidth="1"/>
    <col min="1796" max="1796" width="14.28515625" style="31" customWidth="1"/>
    <col min="1797" max="1797" width="11.85546875" style="31" customWidth="1"/>
    <col min="1798" max="1798" width="10.28515625" style="31" customWidth="1"/>
    <col min="1799" max="1799" width="12.28515625" style="31" customWidth="1"/>
    <col min="1800" max="1800" width="11.5703125" style="31" customWidth="1"/>
    <col min="1801" max="1805" width="0" style="31" hidden="1" customWidth="1"/>
    <col min="1806" max="1806" width="14.28515625" style="31" customWidth="1"/>
    <col min="1807" max="1809" width="7.5703125" style="31" customWidth="1"/>
    <col min="1810" max="1811" width="7.42578125" style="31" customWidth="1"/>
    <col min="1812" max="2049" width="9.140625" style="31"/>
    <col min="2050" max="2050" width="10.85546875" style="31" customWidth="1"/>
    <col min="2051" max="2051" width="52.42578125" style="31" customWidth="1"/>
    <col min="2052" max="2052" width="14.28515625" style="31" customWidth="1"/>
    <col min="2053" max="2053" width="11.85546875" style="31" customWidth="1"/>
    <col min="2054" max="2054" width="10.28515625" style="31" customWidth="1"/>
    <col min="2055" max="2055" width="12.28515625" style="31" customWidth="1"/>
    <col min="2056" max="2056" width="11.5703125" style="31" customWidth="1"/>
    <col min="2057" max="2061" width="0" style="31" hidden="1" customWidth="1"/>
    <col min="2062" max="2062" width="14.28515625" style="31" customWidth="1"/>
    <col min="2063" max="2065" width="7.5703125" style="31" customWidth="1"/>
    <col min="2066" max="2067" width="7.42578125" style="31" customWidth="1"/>
    <col min="2068" max="2305" width="9.140625" style="31"/>
    <col min="2306" max="2306" width="10.85546875" style="31" customWidth="1"/>
    <col min="2307" max="2307" width="52.42578125" style="31" customWidth="1"/>
    <col min="2308" max="2308" width="14.28515625" style="31" customWidth="1"/>
    <col min="2309" max="2309" width="11.85546875" style="31" customWidth="1"/>
    <col min="2310" max="2310" width="10.28515625" style="31" customWidth="1"/>
    <col min="2311" max="2311" width="12.28515625" style="31" customWidth="1"/>
    <col min="2312" max="2312" width="11.5703125" style="31" customWidth="1"/>
    <col min="2313" max="2317" width="0" style="31" hidden="1" customWidth="1"/>
    <col min="2318" max="2318" width="14.28515625" style="31" customWidth="1"/>
    <col min="2319" max="2321" width="7.5703125" style="31" customWidth="1"/>
    <col min="2322" max="2323" width="7.42578125" style="31" customWidth="1"/>
    <col min="2324" max="2561" width="9.140625" style="31"/>
    <col min="2562" max="2562" width="10.85546875" style="31" customWidth="1"/>
    <col min="2563" max="2563" width="52.42578125" style="31" customWidth="1"/>
    <col min="2564" max="2564" width="14.28515625" style="31" customWidth="1"/>
    <col min="2565" max="2565" width="11.85546875" style="31" customWidth="1"/>
    <col min="2566" max="2566" width="10.28515625" style="31" customWidth="1"/>
    <col min="2567" max="2567" width="12.28515625" style="31" customWidth="1"/>
    <col min="2568" max="2568" width="11.5703125" style="31" customWidth="1"/>
    <col min="2569" max="2573" width="0" style="31" hidden="1" customWidth="1"/>
    <col min="2574" max="2574" width="14.28515625" style="31" customWidth="1"/>
    <col min="2575" max="2577" width="7.5703125" style="31" customWidth="1"/>
    <col min="2578" max="2579" width="7.42578125" style="31" customWidth="1"/>
    <col min="2580" max="2817" width="9.140625" style="31"/>
    <col min="2818" max="2818" width="10.85546875" style="31" customWidth="1"/>
    <col min="2819" max="2819" width="52.42578125" style="31" customWidth="1"/>
    <col min="2820" max="2820" width="14.28515625" style="31" customWidth="1"/>
    <col min="2821" max="2821" width="11.85546875" style="31" customWidth="1"/>
    <col min="2822" max="2822" width="10.28515625" style="31" customWidth="1"/>
    <col min="2823" max="2823" width="12.28515625" style="31" customWidth="1"/>
    <col min="2824" max="2824" width="11.5703125" style="31" customWidth="1"/>
    <col min="2825" max="2829" width="0" style="31" hidden="1" customWidth="1"/>
    <col min="2830" max="2830" width="14.28515625" style="31" customWidth="1"/>
    <col min="2831" max="2833" width="7.5703125" style="31" customWidth="1"/>
    <col min="2834" max="2835" width="7.42578125" style="31" customWidth="1"/>
    <col min="2836" max="3073" width="9.140625" style="31"/>
    <col min="3074" max="3074" width="10.85546875" style="31" customWidth="1"/>
    <col min="3075" max="3075" width="52.42578125" style="31" customWidth="1"/>
    <col min="3076" max="3076" width="14.28515625" style="31" customWidth="1"/>
    <col min="3077" max="3077" width="11.85546875" style="31" customWidth="1"/>
    <col min="3078" max="3078" width="10.28515625" style="31" customWidth="1"/>
    <col min="3079" max="3079" width="12.28515625" style="31" customWidth="1"/>
    <col min="3080" max="3080" width="11.5703125" style="31" customWidth="1"/>
    <col min="3081" max="3085" width="0" style="31" hidden="1" customWidth="1"/>
    <col min="3086" max="3086" width="14.28515625" style="31" customWidth="1"/>
    <col min="3087" max="3089" width="7.5703125" style="31" customWidth="1"/>
    <col min="3090" max="3091" width="7.42578125" style="31" customWidth="1"/>
    <col min="3092" max="3329" width="9.140625" style="31"/>
    <col min="3330" max="3330" width="10.85546875" style="31" customWidth="1"/>
    <col min="3331" max="3331" width="52.42578125" style="31" customWidth="1"/>
    <col min="3332" max="3332" width="14.28515625" style="31" customWidth="1"/>
    <col min="3333" max="3333" width="11.85546875" style="31" customWidth="1"/>
    <col min="3334" max="3334" width="10.28515625" style="31" customWidth="1"/>
    <col min="3335" max="3335" width="12.28515625" style="31" customWidth="1"/>
    <col min="3336" max="3336" width="11.5703125" style="31" customWidth="1"/>
    <col min="3337" max="3341" width="0" style="31" hidden="1" customWidth="1"/>
    <col min="3342" max="3342" width="14.28515625" style="31" customWidth="1"/>
    <col min="3343" max="3345" width="7.5703125" style="31" customWidth="1"/>
    <col min="3346" max="3347" width="7.42578125" style="31" customWidth="1"/>
    <col min="3348" max="3585" width="9.140625" style="31"/>
    <col min="3586" max="3586" width="10.85546875" style="31" customWidth="1"/>
    <col min="3587" max="3587" width="52.42578125" style="31" customWidth="1"/>
    <col min="3588" max="3588" width="14.28515625" style="31" customWidth="1"/>
    <col min="3589" max="3589" width="11.85546875" style="31" customWidth="1"/>
    <col min="3590" max="3590" width="10.28515625" style="31" customWidth="1"/>
    <col min="3591" max="3591" width="12.28515625" style="31" customWidth="1"/>
    <col min="3592" max="3592" width="11.5703125" style="31" customWidth="1"/>
    <col min="3593" max="3597" width="0" style="31" hidden="1" customWidth="1"/>
    <col min="3598" max="3598" width="14.28515625" style="31" customWidth="1"/>
    <col min="3599" max="3601" width="7.5703125" style="31" customWidth="1"/>
    <col min="3602" max="3603" width="7.42578125" style="31" customWidth="1"/>
    <col min="3604" max="3841" width="9.140625" style="31"/>
    <col min="3842" max="3842" width="10.85546875" style="31" customWidth="1"/>
    <col min="3843" max="3843" width="52.42578125" style="31" customWidth="1"/>
    <col min="3844" max="3844" width="14.28515625" style="31" customWidth="1"/>
    <col min="3845" max="3845" width="11.85546875" style="31" customWidth="1"/>
    <col min="3846" max="3846" width="10.28515625" style="31" customWidth="1"/>
    <col min="3847" max="3847" width="12.28515625" style="31" customWidth="1"/>
    <col min="3848" max="3848" width="11.5703125" style="31" customWidth="1"/>
    <col min="3849" max="3853" width="0" style="31" hidden="1" customWidth="1"/>
    <col min="3854" max="3854" width="14.28515625" style="31" customWidth="1"/>
    <col min="3855" max="3857" width="7.5703125" style="31" customWidth="1"/>
    <col min="3858" max="3859" width="7.42578125" style="31" customWidth="1"/>
    <col min="3860" max="4097" width="9.140625" style="31"/>
    <col min="4098" max="4098" width="10.85546875" style="31" customWidth="1"/>
    <col min="4099" max="4099" width="52.42578125" style="31" customWidth="1"/>
    <col min="4100" max="4100" width="14.28515625" style="31" customWidth="1"/>
    <col min="4101" max="4101" width="11.85546875" style="31" customWidth="1"/>
    <col min="4102" max="4102" width="10.28515625" style="31" customWidth="1"/>
    <col min="4103" max="4103" width="12.28515625" style="31" customWidth="1"/>
    <col min="4104" max="4104" width="11.5703125" style="31" customWidth="1"/>
    <col min="4105" max="4109" width="0" style="31" hidden="1" customWidth="1"/>
    <col min="4110" max="4110" width="14.28515625" style="31" customWidth="1"/>
    <col min="4111" max="4113" width="7.5703125" style="31" customWidth="1"/>
    <col min="4114" max="4115" width="7.42578125" style="31" customWidth="1"/>
    <col min="4116" max="4353" width="9.140625" style="31"/>
    <col min="4354" max="4354" width="10.85546875" style="31" customWidth="1"/>
    <col min="4355" max="4355" width="52.42578125" style="31" customWidth="1"/>
    <col min="4356" max="4356" width="14.28515625" style="31" customWidth="1"/>
    <col min="4357" max="4357" width="11.85546875" style="31" customWidth="1"/>
    <col min="4358" max="4358" width="10.28515625" style="31" customWidth="1"/>
    <col min="4359" max="4359" width="12.28515625" style="31" customWidth="1"/>
    <col min="4360" max="4360" width="11.5703125" style="31" customWidth="1"/>
    <col min="4361" max="4365" width="0" style="31" hidden="1" customWidth="1"/>
    <col min="4366" max="4366" width="14.28515625" style="31" customWidth="1"/>
    <col min="4367" max="4369" width="7.5703125" style="31" customWidth="1"/>
    <col min="4370" max="4371" width="7.42578125" style="31" customWidth="1"/>
    <col min="4372" max="4609" width="9.140625" style="31"/>
    <col min="4610" max="4610" width="10.85546875" style="31" customWidth="1"/>
    <col min="4611" max="4611" width="52.42578125" style="31" customWidth="1"/>
    <col min="4612" max="4612" width="14.28515625" style="31" customWidth="1"/>
    <col min="4613" max="4613" width="11.85546875" style="31" customWidth="1"/>
    <col min="4614" max="4614" width="10.28515625" style="31" customWidth="1"/>
    <col min="4615" max="4615" width="12.28515625" style="31" customWidth="1"/>
    <col min="4616" max="4616" width="11.5703125" style="31" customWidth="1"/>
    <col min="4617" max="4621" width="0" style="31" hidden="1" customWidth="1"/>
    <col min="4622" max="4622" width="14.28515625" style="31" customWidth="1"/>
    <col min="4623" max="4625" width="7.5703125" style="31" customWidth="1"/>
    <col min="4626" max="4627" width="7.42578125" style="31" customWidth="1"/>
    <col min="4628" max="4865" width="9.140625" style="31"/>
    <col min="4866" max="4866" width="10.85546875" style="31" customWidth="1"/>
    <col min="4867" max="4867" width="52.42578125" style="31" customWidth="1"/>
    <col min="4868" max="4868" width="14.28515625" style="31" customWidth="1"/>
    <col min="4869" max="4869" width="11.85546875" style="31" customWidth="1"/>
    <col min="4870" max="4870" width="10.28515625" style="31" customWidth="1"/>
    <col min="4871" max="4871" width="12.28515625" style="31" customWidth="1"/>
    <col min="4872" max="4872" width="11.5703125" style="31" customWidth="1"/>
    <col min="4873" max="4877" width="0" style="31" hidden="1" customWidth="1"/>
    <col min="4878" max="4878" width="14.28515625" style="31" customWidth="1"/>
    <col min="4879" max="4881" width="7.5703125" style="31" customWidth="1"/>
    <col min="4882" max="4883" width="7.42578125" style="31" customWidth="1"/>
    <col min="4884" max="5121" width="9.140625" style="31"/>
    <col min="5122" max="5122" width="10.85546875" style="31" customWidth="1"/>
    <col min="5123" max="5123" width="52.42578125" style="31" customWidth="1"/>
    <col min="5124" max="5124" width="14.28515625" style="31" customWidth="1"/>
    <col min="5125" max="5125" width="11.85546875" style="31" customWidth="1"/>
    <col min="5126" max="5126" width="10.28515625" style="31" customWidth="1"/>
    <col min="5127" max="5127" width="12.28515625" style="31" customWidth="1"/>
    <col min="5128" max="5128" width="11.5703125" style="31" customWidth="1"/>
    <col min="5129" max="5133" width="0" style="31" hidden="1" customWidth="1"/>
    <col min="5134" max="5134" width="14.28515625" style="31" customWidth="1"/>
    <col min="5135" max="5137" width="7.5703125" style="31" customWidth="1"/>
    <col min="5138" max="5139" width="7.42578125" style="31" customWidth="1"/>
    <col min="5140" max="5377" width="9.140625" style="31"/>
    <col min="5378" max="5378" width="10.85546875" style="31" customWidth="1"/>
    <col min="5379" max="5379" width="52.42578125" style="31" customWidth="1"/>
    <col min="5380" max="5380" width="14.28515625" style="31" customWidth="1"/>
    <col min="5381" max="5381" width="11.85546875" style="31" customWidth="1"/>
    <col min="5382" max="5382" width="10.28515625" style="31" customWidth="1"/>
    <col min="5383" max="5383" width="12.28515625" style="31" customWidth="1"/>
    <col min="5384" max="5384" width="11.5703125" style="31" customWidth="1"/>
    <col min="5385" max="5389" width="0" style="31" hidden="1" customWidth="1"/>
    <col min="5390" max="5390" width="14.28515625" style="31" customWidth="1"/>
    <col min="5391" max="5393" width="7.5703125" style="31" customWidth="1"/>
    <col min="5394" max="5395" width="7.42578125" style="31" customWidth="1"/>
    <col min="5396" max="5633" width="9.140625" style="31"/>
    <col min="5634" max="5634" width="10.85546875" style="31" customWidth="1"/>
    <col min="5635" max="5635" width="52.42578125" style="31" customWidth="1"/>
    <col min="5636" max="5636" width="14.28515625" style="31" customWidth="1"/>
    <col min="5637" max="5637" width="11.85546875" style="31" customWidth="1"/>
    <col min="5638" max="5638" width="10.28515625" style="31" customWidth="1"/>
    <col min="5639" max="5639" width="12.28515625" style="31" customWidth="1"/>
    <col min="5640" max="5640" width="11.5703125" style="31" customWidth="1"/>
    <col min="5641" max="5645" width="0" style="31" hidden="1" customWidth="1"/>
    <col min="5646" max="5646" width="14.28515625" style="31" customWidth="1"/>
    <col min="5647" max="5649" width="7.5703125" style="31" customWidth="1"/>
    <col min="5650" max="5651" width="7.42578125" style="31" customWidth="1"/>
    <col min="5652" max="5889" width="9.140625" style="31"/>
    <col min="5890" max="5890" width="10.85546875" style="31" customWidth="1"/>
    <col min="5891" max="5891" width="52.42578125" style="31" customWidth="1"/>
    <col min="5892" max="5892" width="14.28515625" style="31" customWidth="1"/>
    <col min="5893" max="5893" width="11.85546875" style="31" customWidth="1"/>
    <col min="5894" max="5894" width="10.28515625" style="31" customWidth="1"/>
    <col min="5895" max="5895" width="12.28515625" style="31" customWidth="1"/>
    <col min="5896" max="5896" width="11.5703125" style="31" customWidth="1"/>
    <col min="5897" max="5901" width="0" style="31" hidden="1" customWidth="1"/>
    <col min="5902" max="5902" width="14.28515625" style="31" customWidth="1"/>
    <col min="5903" max="5905" width="7.5703125" style="31" customWidth="1"/>
    <col min="5906" max="5907" width="7.42578125" style="31" customWidth="1"/>
    <col min="5908" max="6145" width="9.140625" style="31"/>
    <col min="6146" max="6146" width="10.85546875" style="31" customWidth="1"/>
    <col min="6147" max="6147" width="52.42578125" style="31" customWidth="1"/>
    <col min="6148" max="6148" width="14.28515625" style="31" customWidth="1"/>
    <col min="6149" max="6149" width="11.85546875" style="31" customWidth="1"/>
    <col min="6150" max="6150" width="10.28515625" style="31" customWidth="1"/>
    <col min="6151" max="6151" width="12.28515625" style="31" customWidth="1"/>
    <col min="6152" max="6152" width="11.5703125" style="31" customWidth="1"/>
    <col min="6153" max="6157" width="0" style="31" hidden="1" customWidth="1"/>
    <col min="6158" max="6158" width="14.28515625" style="31" customWidth="1"/>
    <col min="6159" max="6161" width="7.5703125" style="31" customWidth="1"/>
    <col min="6162" max="6163" width="7.42578125" style="31" customWidth="1"/>
    <col min="6164" max="6401" width="9.140625" style="31"/>
    <col min="6402" max="6402" width="10.85546875" style="31" customWidth="1"/>
    <col min="6403" max="6403" width="52.42578125" style="31" customWidth="1"/>
    <col min="6404" max="6404" width="14.28515625" style="31" customWidth="1"/>
    <col min="6405" max="6405" width="11.85546875" style="31" customWidth="1"/>
    <col min="6406" max="6406" width="10.28515625" style="31" customWidth="1"/>
    <col min="6407" max="6407" width="12.28515625" style="31" customWidth="1"/>
    <col min="6408" max="6408" width="11.5703125" style="31" customWidth="1"/>
    <col min="6409" max="6413" width="0" style="31" hidden="1" customWidth="1"/>
    <col min="6414" max="6414" width="14.28515625" style="31" customWidth="1"/>
    <col min="6415" max="6417" width="7.5703125" style="31" customWidth="1"/>
    <col min="6418" max="6419" width="7.42578125" style="31" customWidth="1"/>
    <col min="6420" max="6657" width="9.140625" style="31"/>
    <col min="6658" max="6658" width="10.85546875" style="31" customWidth="1"/>
    <col min="6659" max="6659" width="52.42578125" style="31" customWidth="1"/>
    <col min="6660" max="6660" width="14.28515625" style="31" customWidth="1"/>
    <col min="6661" max="6661" width="11.85546875" style="31" customWidth="1"/>
    <col min="6662" max="6662" width="10.28515625" style="31" customWidth="1"/>
    <col min="6663" max="6663" width="12.28515625" style="31" customWidth="1"/>
    <col min="6664" max="6664" width="11.5703125" style="31" customWidth="1"/>
    <col min="6665" max="6669" width="0" style="31" hidden="1" customWidth="1"/>
    <col min="6670" max="6670" width="14.28515625" style="31" customWidth="1"/>
    <col min="6671" max="6673" width="7.5703125" style="31" customWidth="1"/>
    <col min="6674" max="6675" width="7.42578125" style="31" customWidth="1"/>
    <col min="6676" max="6913" width="9.140625" style="31"/>
    <col min="6914" max="6914" width="10.85546875" style="31" customWidth="1"/>
    <col min="6915" max="6915" width="52.42578125" style="31" customWidth="1"/>
    <col min="6916" max="6916" width="14.28515625" style="31" customWidth="1"/>
    <col min="6917" max="6917" width="11.85546875" style="31" customWidth="1"/>
    <col min="6918" max="6918" width="10.28515625" style="31" customWidth="1"/>
    <col min="6919" max="6919" width="12.28515625" style="31" customWidth="1"/>
    <col min="6920" max="6920" width="11.5703125" style="31" customWidth="1"/>
    <col min="6921" max="6925" width="0" style="31" hidden="1" customWidth="1"/>
    <col min="6926" max="6926" width="14.28515625" style="31" customWidth="1"/>
    <col min="6927" max="6929" width="7.5703125" style="31" customWidth="1"/>
    <col min="6930" max="6931" width="7.42578125" style="31" customWidth="1"/>
    <col min="6932" max="7169" width="9.140625" style="31"/>
    <col min="7170" max="7170" width="10.85546875" style="31" customWidth="1"/>
    <col min="7171" max="7171" width="52.42578125" style="31" customWidth="1"/>
    <col min="7172" max="7172" width="14.28515625" style="31" customWidth="1"/>
    <col min="7173" max="7173" width="11.85546875" style="31" customWidth="1"/>
    <col min="7174" max="7174" width="10.28515625" style="31" customWidth="1"/>
    <col min="7175" max="7175" width="12.28515625" style="31" customWidth="1"/>
    <col min="7176" max="7176" width="11.5703125" style="31" customWidth="1"/>
    <col min="7177" max="7181" width="0" style="31" hidden="1" customWidth="1"/>
    <col min="7182" max="7182" width="14.28515625" style="31" customWidth="1"/>
    <col min="7183" max="7185" width="7.5703125" style="31" customWidth="1"/>
    <col min="7186" max="7187" width="7.42578125" style="31" customWidth="1"/>
    <col min="7188" max="7425" width="9.140625" style="31"/>
    <col min="7426" max="7426" width="10.85546875" style="31" customWidth="1"/>
    <col min="7427" max="7427" width="52.42578125" style="31" customWidth="1"/>
    <col min="7428" max="7428" width="14.28515625" style="31" customWidth="1"/>
    <col min="7429" max="7429" width="11.85546875" style="31" customWidth="1"/>
    <col min="7430" max="7430" width="10.28515625" style="31" customWidth="1"/>
    <col min="7431" max="7431" width="12.28515625" style="31" customWidth="1"/>
    <col min="7432" max="7432" width="11.5703125" style="31" customWidth="1"/>
    <col min="7433" max="7437" width="0" style="31" hidden="1" customWidth="1"/>
    <col min="7438" max="7438" width="14.28515625" style="31" customWidth="1"/>
    <col min="7439" max="7441" width="7.5703125" style="31" customWidth="1"/>
    <col min="7442" max="7443" width="7.42578125" style="31" customWidth="1"/>
    <col min="7444" max="7681" width="9.140625" style="31"/>
    <col min="7682" max="7682" width="10.85546875" style="31" customWidth="1"/>
    <col min="7683" max="7683" width="52.42578125" style="31" customWidth="1"/>
    <col min="7684" max="7684" width="14.28515625" style="31" customWidth="1"/>
    <col min="7685" max="7685" width="11.85546875" style="31" customWidth="1"/>
    <col min="7686" max="7686" width="10.28515625" style="31" customWidth="1"/>
    <col min="7687" max="7687" width="12.28515625" style="31" customWidth="1"/>
    <col min="7688" max="7688" width="11.5703125" style="31" customWidth="1"/>
    <col min="7689" max="7693" width="0" style="31" hidden="1" customWidth="1"/>
    <col min="7694" max="7694" width="14.28515625" style="31" customWidth="1"/>
    <col min="7695" max="7697" width="7.5703125" style="31" customWidth="1"/>
    <col min="7698" max="7699" width="7.42578125" style="31" customWidth="1"/>
    <col min="7700" max="7937" width="9.140625" style="31"/>
    <col min="7938" max="7938" width="10.85546875" style="31" customWidth="1"/>
    <col min="7939" max="7939" width="52.42578125" style="31" customWidth="1"/>
    <col min="7940" max="7940" width="14.28515625" style="31" customWidth="1"/>
    <col min="7941" max="7941" width="11.85546875" style="31" customWidth="1"/>
    <col min="7942" max="7942" width="10.28515625" style="31" customWidth="1"/>
    <col min="7943" max="7943" width="12.28515625" style="31" customWidth="1"/>
    <col min="7944" max="7944" width="11.5703125" style="31" customWidth="1"/>
    <col min="7945" max="7949" width="0" style="31" hidden="1" customWidth="1"/>
    <col min="7950" max="7950" width="14.28515625" style="31" customWidth="1"/>
    <col min="7951" max="7953" width="7.5703125" style="31" customWidth="1"/>
    <col min="7954" max="7955" width="7.42578125" style="31" customWidth="1"/>
    <col min="7956" max="8193" width="9.140625" style="31"/>
    <col min="8194" max="8194" width="10.85546875" style="31" customWidth="1"/>
    <col min="8195" max="8195" width="52.42578125" style="31" customWidth="1"/>
    <col min="8196" max="8196" width="14.28515625" style="31" customWidth="1"/>
    <col min="8197" max="8197" width="11.85546875" style="31" customWidth="1"/>
    <col min="8198" max="8198" width="10.28515625" style="31" customWidth="1"/>
    <col min="8199" max="8199" width="12.28515625" style="31" customWidth="1"/>
    <col min="8200" max="8200" width="11.5703125" style="31" customWidth="1"/>
    <col min="8201" max="8205" width="0" style="31" hidden="1" customWidth="1"/>
    <col min="8206" max="8206" width="14.28515625" style="31" customWidth="1"/>
    <col min="8207" max="8209" width="7.5703125" style="31" customWidth="1"/>
    <col min="8210" max="8211" width="7.42578125" style="31" customWidth="1"/>
    <col min="8212" max="8449" width="9.140625" style="31"/>
    <col min="8450" max="8450" width="10.85546875" style="31" customWidth="1"/>
    <col min="8451" max="8451" width="52.42578125" style="31" customWidth="1"/>
    <col min="8452" max="8452" width="14.28515625" style="31" customWidth="1"/>
    <col min="8453" max="8453" width="11.85546875" style="31" customWidth="1"/>
    <col min="8454" max="8454" width="10.28515625" style="31" customWidth="1"/>
    <col min="8455" max="8455" width="12.28515625" style="31" customWidth="1"/>
    <col min="8456" max="8456" width="11.5703125" style="31" customWidth="1"/>
    <col min="8457" max="8461" width="0" style="31" hidden="1" customWidth="1"/>
    <col min="8462" max="8462" width="14.28515625" style="31" customWidth="1"/>
    <col min="8463" max="8465" width="7.5703125" style="31" customWidth="1"/>
    <col min="8466" max="8467" width="7.42578125" style="31" customWidth="1"/>
    <col min="8468" max="8705" width="9.140625" style="31"/>
    <col min="8706" max="8706" width="10.85546875" style="31" customWidth="1"/>
    <col min="8707" max="8707" width="52.42578125" style="31" customWidth="1"/>
    <col min="8708" max="8708" width="14.28515625" style="31" customWidth="1"/>
    <col min="8709" max="8709" width="11.85546875" style="31" customWidth="1"/>
    <col min="8710" max="8710" width="10.28515625" style="31" customWidth="1"/>
    <col min="8711" max="8711" width="12.28515625" style="31" customWidth="1"/>
    <col min="8712" max="8712" width="11.5703125" style="31" customWidth="1"/>
    <col min="8713" max="8717" width="0" style="31" hidden="1" customWidth="1"/>
    <col min="8718" max="8718" width="14.28515625" style="31" customWidth="1"/>
    <col min="8719" max="8721" width="7.5703125" style="31" customWidth="1"/>
    <col min="8722" max="8723" width="7.42578125" style="31" customWidth="1"/>
    <col min="8724" max="8961" width="9.140625" style="31"/>
    <col min="8962" max="8962" width="10.85546875" style="31" customWidth="1"/>
    <col min="8963" max="8963" width="52.42578125" style="31" customWidth="1"/>
    <col min="8964" max="8964" width="14.28515625" style="31" customWidth="1"/>
    <col min="8965" max="8965" width="11.85546875" style="31" customWidth="1"/>
    <col min="8966" max="8966" width="10.28515625" style="31" customWidth="1"/>
    <col min="8967" max="8967" width="12.28515625" style="31" customWidth="1"/>
    <col min="8968" max="8968" width="11.5703125" style="31" customWidth="1"/>
    <col min="8969" max="8973" width="0" style="31" hidden="1" customWidth="1"/>
    <col min="8974" max="8974" width="14.28515625" style="31" customWidth="1"/>
    <col min="8975" max="8977" width="7.5703125" style="31" customWidth="1"/>
    <col min="8978" max="8979" width="7.42578125" style="31" customWidth="1"/>
    <col min="8980" max="9217" width="9.140625" style="31"/>
    <col min="9218" max="9218" width="10.85546875" style="31" customWidth="1"/>
    <col min="9219" max="9219" width="52.42578125" style="31" customWidth="1"/>
    <col min="9220" max="9220" width="14.28515625" style="31" customWidth="1"/>
    <col min="9221" max="9221" width="11.85546875" style="31" customWidth="1"/>
    <col min="9222" max="9222" width="10.28515625" style="31" customWidth="1"/>
    <col min="9223" max="9223" width="12.28515625" style="31" customWidth="1"/>
    <col min="9224" max="9224" width="11.5703125" style="31" customWidth="1"/>
    <col min="9225" max="9229" width="0" style="31" hidden="1" customWidth="1"/>
    <col min="9230" max="9230" width="14.28515625" style="31" customWidth="1"/>
    <col min="9231" max="9233" width="7.5703125" style="31" customWidth="1"/>
    <col min="9234" max="9235" width="7.42578125" style="31" customWidth="1"/>
    <col min="9236" max="9473" width="9.140625" style="31"/>
    <col min="9474" max="9474" width="10.85546875" style="31" customWidth="1"/>
    <col min="9475" max="9475" width="52.42578125" style="31" customWidth="1"/>
    <col min="9476" max="9476" width="14.28515625" style="31" customWidth="1"/>
    <col min="9477" max="9477" width="11.85546875" style="31" customWidth="1"/>
    <col min="9478" max="9478" width="10.28515625" style="31" customWidth="1"/>
    <col min="9479" max="9479" width="12.28515625" style="31" customWidth="1"/>
    <col min="9480" max="9480" width="11.5703125" style="31" customWidth="1"/>
    <col min="9481" max="9485" width="0" style="31" hidden="1" customWidth="1"/>
    <col min="9486" max="9486" width="14.28515625" style="31" customWidth="1"/>
    <col min="9487" max="9489" width="7.5703125" style="31" customWidth="1"/>
    <col min="9490" max="9491" width="7.42578125" style="31" customWidth="1"/>
    <col min="9492" max="9729" width="9.140625" style="31"/>
    <col min="9730" max="9730" width="10.85546875" style="31" customWidth="1"/>
    <col min="9731" max="9731" width="52.42578125" style="31" customWidth="1"/>
    <col min="9732" max="9732" width="14.28515625" style="31" customWidth="1"/>
    <col min="9733" max="9733" width="11.85546875" style="31" customWidth="1"/>
    <col min="9734" max="9734" width="10.28515625" style="31" customWidth="1"/>
    <col min="9735" max="9735" width="12.28515625" style="31" customWidth="1"/>
    <col min="9736" max="9736" width="11.5703125" style="31" customWidth="1"/>
    <col min="9737" max="9741" width="0" style="31" hidden="1" customWidth="1"/>
    <col min="9742" max="9742" width="14.28515625" style="31" customWidth="1"/>
    <col min="9743" max="9745" width="7.5703125" style="31" customWidth="1"/>
    <col min="9746" max="9747" width="7.42578125" style="31" customWidth="1"/>
    <col min="9748" max="9985" width="9.140625" style="31"/>
    <col min="9986" max="9986" width="10.85546875" style="31" customWidth="1"/>
    <col min="9987" max="9987" width="52.42578125" style="31" customWidth="1"/>
    <col min="9988" max="9988" width="14.28515625" style="31" customWidth="1"/>
    <col min="9989" max="9989" width="11.85546875" style="31" customWidth="1"/>
    <col min="9990" max="9990" width="10.28515625" style="31" customWidth="1"/>
    <col min="9991" max="9991" width="12.28515625" style="31" customWidth="1"/>
    <col min="9992" max="9992" width="11.5703125" style="31" customWidth="1"/>
    <col min="9993" max="9997" width="0" style="31" hidden="1" customWidth="1"/>
    <col min="9998" max="9998" width="14.28515625" style="31" customWidth="1"/>
    <col min="9999" max="10001" width="7.5703125" style="31" customWidth="1"/>
    <col min="10002" max="10003" width="7.42578125" style="31" customWidth="1"/>
    <col min="10004" max="10241" width="9.140625" style="31"/>
    <col min="10242" max="10242" width="10.85546875" style="31" customWidth="1"/>
    <col min="10243" max="10243" width="52.42578125" style="31" customWidth="1"/>
    <col min="10244" max="10244" width="14.28515625" style="31" customWidth="1"/>
    <col min="10245" max="10245" width="11.85546875" style="31" customWidth="1"/>
    <col min="10246" max="10246" width="10.28515625" style="31" customWidth="1"/>
    <col min="10247" max="10247" width="12.28515625" style="31" customWidth="1"/>
    <col min="10248" max="10248" width="11.5703125" style="31" customWidth="1"/>
    <col min="10249" max="10253" width="0" style="31" hidden="1" customWidth="1"/>
    <col min="10254" max="10254" width="14.28515625" style="31" customWidth="1"/>
    <col min="10255" max="10257" width="7.5703125" style="31" customWidth="1"/>
    <col min="10258" max="10259" width="7.42578125" style="31" customWidth="1"/>
    <col min="10260" max="10497" width="9.140625" style="31"/>
    <col min="10498" max="10498" width="10.85546875" style="31" customWidth="1"/>
    <col min="10499" max="10499" width="52.42578125" style="31" customWidth="1"/>
    <col min="10500" max="10500" width="14.28515625" style="31" customWidth="1"/>
    <col min="10501" max="10501" width="11.85546875" style="31" customWidth="1"/>
    <col min="10502" max="10502" width="10.28515625" style="31" customWidth="1"/>
    <col min="10503" max="10503" width="12.28515625" style="31" customWidth="1"/>
    <col min="10504" max="10504" width="11.5703125" style="31" customWidth="1"/>
    <col min="10505" max="10509" width="0" style="31" hidden="1" customWidth="1"/>
    <col min="10510" max="10510" width="14.28515625" style="31" customWidth="1"/>
    <col min="10511" max="10513" width="7.5703125" style="31" customWidth="1"/>
    <col min="10514" max="10515" width="7.42578125" style="31" customWidth="1"/>
    <col min="10516" max="10753" width="9.140625" style="31"/>
    <col min="10754" max="10754" width="10.85546875" style="31" customWidth="1"/>
    <col min="10755" max="10755" width="52.42578125" style="31" customWidth="1"/>
    <col min="10756" max="10756" width="14.28515625" style="31" customWidth="1"/>
    <col min="10757" max="10757" width="11.85546875" style="31" customWidth="1"/>
    <col min="10758" max="10758" width="10.28515625" style="31" customWidth="1"/>
    <col min="10759" max="10759" width="12.28515625" style="31" customWidth="1"/>
    <col min="10760" max="10760" width="11.5703125" style="31" customWidth="1"/>
    <col min="10761" max="10765" width="0" style="31" hidden="1" customWidth="1"/>
    <col min="10766" max="10766" width="14.28515625" style="31" customWidth="1"/>
    <col min="10767" max="10769" width="7.5703125" style="31" customWidth="1"/>
    <col min="10770" max="10771" width="7.42578125" style="31" customWidth="1"/>
    <col min="10772" max="11009" width="9.140625" style="31"/>
    <col min="11010" max="11010" width="10.85546875" style="31" customWidth="1"/>
    <col min="11011" max="11011" width="52.42578125" style="31" customWidth="1"/>
    <col min="11012" max="11012" width="14.28515625" style="31" customWidth="1"/>
    <col min="11013" max="11013" width="11.85546875" style="31" customWidth="1"/>
    <col min="11014" max="11014" width="10.28515625" style="31" customWidth="1"/>
    <col min="11015" max="11015" width="12.28515625" style="31" customWidth="1"/>
    <col min="11016" max="11016" width="11.5703125" style="31" customWidth="1"/>
    <col min="11017" max="11021" width="0" style="31" hidden="1" customWidth="1"/>
    <col min="11022" max="11022" width="14.28515625" style="31" customWidth="1"/>
    <col min="11023" max="11025" width="7.5703125" style="31" customWidth="1"/>
    <col min="11026" max="11027" width="7.42578125" style="31" customWidth="1"/>
    <col min="11028" max="11265" width="9.140625" style="31"/>
    <col min="11266" max="11266" width="10.85546875" style="31" customWidth="1"/>
    <col min="11267" max="11267" width="52.42578125" style="31" customWidth="1"/>
    <col min="11268" max="11268" width="14.28515625" style="31" customWidth="1"/>
    <col min="11269" max="11269" width="11.85546875" style="31" customWidth="1"/>
    <col min="11270" max="11270" width="10.28515625" style="31" customWidth="1"/>
    <col min="11271" max="11271" width="12.28515625" style="31" customWidth="1"/>
    <col min="11272" max="11272" width="11.5703125" style="31" customWidth="1"/>
    <col min="11273" max="11277" width="0" style="31" hidden="1" customWidth="1"/>
    <col min="11278" max="11278" width="14.28515625" style="31" customWidth="1"/>
    <col min="11279" max="11281" width="7.5703125" style="31" customWidth="1"/>
    <col min="11282" max="11283" width="7.42578125" style="31" customWidth="1"/>
    <col min="11284" max="11521" width="9.140625" style="31"/>
    <col min="11522" max="11522" width="10.85546875" style="31" customWidth="1"/>
    <col min="11523" max="11523" width="52.42578125" style="31" customWidth="1"/>
    <col min="11524" max="11524" width="14.28515625" style="31" customWidth="1"/>
    <col min="11525" max="11525" width="11.85546875" style="31" customWidth="1"/>
    <col min="11526" max="11526" width="10.28515625" style="31" customWidth="1"/>
    <col min="11527" max="11527" width="12.28515625" style="31" customWidth="1"/>
    <col min="11528" max="11528" width="11.5703125" style="31" customWidth="1"/>
    <col min="11529" max="11533" width="0" style="31" hidden="1" customWidth="1"/>
    <col min="11534" max="11534" width="14.28515625" style="31" customWidth="1"/>
    <col min="11535" max="11537" width="7.5703125" style="31" customWidth="1"/>
    <col min="11538" max="11539" width="7.42578125" style="31" customWidth="1"/>
    <col min="11540" max="11777" width="9.140625" style="31"/>
    <col min="11778" max="11778" width="10.85546875" style="31" customWidth="1"/>
    <col min="11779" max="11779" width="52.42578125" style="31" customWidth="1"/>
    <col min="11780" max="11780" width="14.28515625" style="31" customWidth="1"/>
    <col min="11781" max="11781" width="11.85546875" style="31" customWidth="1"/>
    <col min="11782" max="11782" width="10.28515625" style="31" customWidth="1"/>
    <col min="11783" max="11783" width="12.28515625" style="31" customWidth="1"/>
    <col min="11784" max="11784" width="11.5703125" style="31" customWidth="1"/>
    <col min="11785" max="11789" width="0" style="31" hidden="1" customWidth="1"/>
    <col min="11790" max="11790" width="14.28515625" style="31" customWidth="1"/>
    <col min="11791" max="11793" width="7.5703125" style="31" customWidth="1"/>
    <col min="11794" max="11795" width="7.42578125" style="31" customWidth="1"/>
    <col min="11796" max="12033" width="9.140625" style="31"/>
    <col min="12034" max="12034" width="10.85546875" style="31" customWidth="1"/>
    <col min="12035" max="12035" width="52.42578125" style="31" customWidth="1"/>
    <col min="12036" max="12036" width="14.28515625" style="31" customWidth="1"/>
    <col min="12037" max="12037" width="11.85546875" style="31" customWidth="1"/>
    <col min="12038" max="12038" width="10.28515625" style="31" customWidth="1"/>
    <col min="12039" max="12039" width="12.28515625" style="31" customWidth="1"/>
    <col min="12040" max="12040" width="11.5703125" style="31" customWidth="1"/>
    <col min="12041" max="12045" width="0" style="31" hidden="1" customWidth="1"/>
    <col min="12046" max="12046" width="14.28515625" style="31" customWidth="1"/>
    <col min="12047" max="12049" width="7.5703125" style="31" customWidth="1"/>
    <col min="12050" max="12051" width="7.42578125" style="31" customWidth="1"/>
    <col min="12052" max="12289" width="9.140625" style="31"/>
    <col min="12290" max="12290" width="10.85546875" style="31" customWidth="1"/>
    <col min="12291" max="12291" width="52.42578125" style="31" customWidth="1"/>
    <col min="12292" max="12292" width="14.28515625" style="31" customWidth="1"/>
    <col min="12293" max="12293" width="11.85546875" style="31" customWidth="1"/>
    <col min="12294" max="12294" width="10.28515625" style="31" customWidth="1"/>
    <col min="12295" max="12295" width="12.28515625" style="31" customWidth="1"/>
    <col min="12296" max="12296" width="11.5703125" style="31" customWidth="1"/>
    <col min="12297" max="12301" width="0" style="31" hidden="1" customWidth="1"/>
    <col min="12302" max="12302" width="14.28515625" style="31" customWidth="1"/>
    <col min="12303" max="12305" width="7.5703125" style="31" customWidth="1"/>
    <col min="12306" max="12307" width="7.42578125" style="31" customWidth="1"/>
    <col min="12308" max="12545" width="9.140625" style="31"/>
    <col min="12546" max="12546" width="10.85546875" style="31" customWidth="1"/>
    <col min="12547" max="12547" width="52.42578125" style="31" customWidth="1"/>
    <col min="12548" max="12548" width="14.28515625" style="31" customWidth="1"/>
    <col min="12549" max="12549" width="11.85546875" style="31" customWidth="1"/>
    <col min="12550" max="12550" width="10.28515625" style="31" customWidth="1"/>
    <col min="12551" max="12551" width="12.28515625" style="31" customWidth="1"/>
    <col min="12552" max="12552" width="11.5703125" style="31" customWidth="1"/>
    <col min="12553" max="12557" width="0" style="31" hidden="1" customWidth="1"/>
    <col min="12558" max="12558" width="14.28515625" style="31" customWidth="1"/>
    <col min="12559" max="12561" width="7.5703125" style="31" customWidth="1"/>
    <col min="12562" max="12563" width="7.42578125" style="31" customWidth="1"/>
    <col min="12564" max="12801" width="9.140625" style="31"/>
    <col min="12802" max="12802" width="10.85546875" style="31" customWidth="1"/>
    <col min="12803" max="12803" width="52.42578125" style="31" customWidth="1"/>
    <col min="12804" max="12804" width="14.28515625" style="31" customWidth="1"/>
    <col min="12805" max="12805" width="11.85546875" style="31" customWidth="1"/>
    <col min="12806" max="12806" width="10.28515625" style="31" customWidth="1"/>
    <col min="12807" max="12807" width="12.28515625" style="31" customWidth="1"/>
    <col min="12808" max="12808" width="11.5703125" style="31" customWidth="1"/>
    <col min="12809" max="12813" width="0" style="31" hidden="1" customWidth="1"/>
    <col min="12814" max="12814" width="14.28515625" style="31" customWidth="1"/>
    <col min="12815" max="12817" width="7.5703125" style="31" customWidth="1"/>
    <col min="12818" max="12819" width="7.42578125" style="31" customWidth="1"/>
    <col min="12820" max="13057" width="9.140625" style="31"/>
    <col min="13058" max="13058" width="10.85546875" style="31" customWidth="1"/>
    <col min="13059" max="13059" width="52.42578125" style="31" customWidth="1"/>
    <col min="13060" max="13060" width="14.28515625" style="31" customWidth="1"/>
    <col min="13061" max="13061" width="11.85546875" style="31" customWidth="1"/>
    <col min="13062" max="13062" width="10.28515625" style="31" customWidth="1"/>
    <col min="13063" max="13063" width="12.28515625" style="31" customWidth="1"/>
    <col min="13064" max="13064" width="11.5703125" style="31" customWidth="1"/>
    <col min="13065" max="13069" width="0" style="31" hidden="1" customWidth="1"/>
    <col min="13070" max="13070" width="14.28515625" style="31" customWidth="1"/>
    <col min="13071" max="13073" width="7.5703125" style="31" customWidth="1"/>
    <col min="13074" max="13075" width="7.42578125" style="31" customWidth="1"/>
    <col min="13076" max="13313" width="9.140625" style="31"/>
    <col min="13314" max="13314" width="10.85546875" style="31" customWidth="1"/>
    <col min="13315" max="13315" width="52.42578125" style="31" customWidth="1"/>
    <col min="13316" max="13316" width="14.28515625" style="31" customWidth="1"/>
    <col min="13317" max="13317" width="11.85546875" style="31" customWidth="1"/>
    <col min="13318" max="13318" width="10.28515625" style="31" customWidth="1"/>
    <col min="13319" max="13319" width="12.28515625" style="31" customWidth="1"/>
    <col min="13320" max="13320" width="11.5703125" style="31" customWidth="1"/>
    <col min="13321" max="13325" width="0" style="31" hidden="1" customWidth="1"/>
    <col min="13326" max="13326" width="14.28515625" style="31" customWidth="1"/>
    <col min="13327" max="13329" width="7.5703125" style="31" customWidth="1"/>
    <col min="13330" max="13331" width="7.42578125" style="31" customWidth="1"/>
    <col min="13332" max="13569" width="9.140625" style="31"/>
    <col min="13570" max="13570" width="10.85546875" style="31" customWidth="1"/>
    <col min="13571" max="13571" width="52.42578125" style="31" customWidth="1"/>
    <col min="13572" max="13572" width="14.28515625" style="31" customWidth="1"/>
    <col min="13573" max="13573" width="11.85546875" style="31" customWidth="1"/>
    <col min="13574" max="13574" width="10.28515625" style="31" customWidth="1"/>
    <col min="13575" max="13575" width="12.28515625" style="31" customWidth="1"/>
    <col min="13576" max="13576" width="11.5703125" style="31" customWidth="1"/>
    <col min="13577" max="13581" width="0" style="31" hidden="1" customWidth="1"/>
    <col min="13582" max="13582" width="14.28515625" style="31" customWidth="1"/>
    <col min="13583" max="13585" width="7.5703125" style="31" customWidth="1"/>
    <col min="13586" max="13587" width="7.42578125" style="31" customWidth="1"/>
    <col min="13588" max="13825" width="9.140625" style="31"/>
    <col min="13826" max="13826" width="10.85546875" style="31" customWidth="1"/>
    <col min="13827" max="13827" width="52.42578125" style="31" customWidth="1"/>
    <col min="13828" max="13828" width="14.28515625" style="31" customWidth="1"/>
    <col min="13829" max="13829" width="11.85546875" style="31" customWidth="1"/>
    <col min="13830" max="13830" width="10.28515625" style="31" customWidth="1"/>
    <col min="13831" max="13831" width="12.28515625" style="31" customWidth="1"/>
    <col min="13832" max="13832" width="11.5703125" style="31" customWidth="1"/>
    <col min="13833" max="13837" width="0" style="31" hidden="1" customWidth="1"/>
    <col min="13838" max="13838" width="14.28515625" style="31" customWidth="1"/>
    <col min="13839" max="13841" width="7.5703125" style="31" customWidth="1"/>
    <col min="13842" max="13843" width="7.42578125" style="31" customWidth="1"/>
    <col min="13844" max="14081" width="9.140625" style="31"/>
    <col min="14082" max="14082" width="10.85546875" style="31" customWidth="1"/>
    <col min="14083" max="14083" width="52.42578125" style="31" customWidth="1"/>
    <col min="14084" max="14084" width="14.28515625" style="31" customWidth="1"/>
    <col min="14085" max="14085" width="11.85546875" style="31" customWidth="1"/>
    <col min="14086" max="14086" width="10.28515625" style="31" customWidth="1"/>
    <col min="14087" max="14087" width="12.28515625" style="31" customWidth="1"/>
    <col min="14088" max="14088" width="11.5703125" style="31" customWidth="1"/>
    <col min="14089" max="14093" width="0" style="31" hidden="1" customWidth="1"/>
    <col min="14094" max="14094" width="14.28515625" style="31" customWidth="1"/>
    <col min="14095" max="14097" width="7.5703125" style="31" customWidth="1"/>
    <col min="14098" max="14099" width="7.42578125" style="31" customWidth="1"/>
    <col min="14100" max="14337" width="9.140625" style="31"/>
    <col min="14338" max="14338" width="10.85546875" style="31" customWidth="1"/>
    <col min="14339" max="14339" width="52.42578125" style="31" customWidth="1"/>
    <col min="14340" max="14340" width="14.28515625" style="31" customWidth="1"/>
    <col min="14341" max="14341" width="11.85546875" style="31" customWidth="1"/>
    <col min="14342" max="14342" width="10.28515625" style="31" customWidth="1"/>
    <col min="14343" max="14343" width="12.28515625" style="31" customWidth="1"/>
    <col min="14344" max="14344" width="11.5703125" style="31" customWidth="1"/>
    <col min="14345" max="14349" width="0" style="31" hidden="1" customWidth="1"/>
    <col min="14350" max="14350" width="14.28515625" style="31" customWidth="1"/>
    <col min="14351" max="14353" width="7.5703125" style="31" customWidth="1"/>
    <col min="14354" max="14355" width="7.42578125" style="31" customWidth="1"/>
    <col min="14356" max="14593" width="9.140625" style="31"/>
    <col min="14594" max="14594" width="10.85546875" style="31" customWidth="1"/>
    <col min="14595" max="14595" width="52.42578125" style="31" customWidth="1"/>
    <col min="14596" max="14596" width="14.28515625" style="31" customWidth="1"/>
    <col min="14597" max="14597" width="11.85546875" style="31" customWidth="1"/>
    <col min="14598" max="14598" width="10.28515625" style="31" customWidth="1"/>
    <col min="14599" max="14599" width="12.28515625" style="31" customWidth="1"/>
    <col min="14600" max="14600" width="11.5703125" style="31" customWidth="1"/>
    <col min="14601" max="14605" width="0" style="31" hidden="1" customWidth="1"/>
    <col min="14606" max="14606" width="14.28515625" style="31" customWidth="1"/>
    <col min="14607" max="14609" width="7.5703125" style="31" customWidth="1"/>
    <col min="14610" max="14611" width="7.42578125" style="31" customWidth="1"/>
    <col min="14612" max="14849" width="9.140625" style="31"/>
    <col min="14850" max="14850" width="10.85546875" style="31" customWidth="1"/>
    <col min="14851" max="14851" width="52.42578125" style="31" customWidth="1"/>
    <col min="14852" max="14852" width="14.28515625" style="31" customWidth="1"/>
    <col min="14853" max="14853" width="11.85546875" style="31" customWidth="1"/>
    <col min="14854" max="14854" width="10.28515625" style="31" customWidth="1"/>
    <col min="14855" max="14855" width="12.28515625" style="31" customWidth="1"/>
    <col min="14856" max="14856" width="11.5703125" style="31" customWidth="1"/>
    <col min="14857" max="14861" width="0" style="31" hidden="1" customWidth="1"/>
    <col min="14862" max="14862" width="14.28515625" style="31" customWidth="1"/>
    <col min="14863" max="14865" width="7.5703125" style="31" customWidth="1"/>
    <col min="14866" max="14867" width="7.42578125" style="31" customWidth="1"/>
    <col min="14868" max="15105" width="9.140625" style="31"/>
    <col min="15106" max="15106" width="10.85546875" style="31" customWidth="1"/>
    <col min="15107" max="15107" width="52.42578125" style="31" customWidth="1"/>
    <col min="15108" max="15108" width="14.28515625" style="31" customWidth="1"/>
    <col min="15109" max="15109" width="11.85546875" style="31" customWidth="1"/>
    <col min="15110" max="15110" width="10.28515625" style="31" customWidth="1"/>
    <col min="15111" max="15111" width="12.28515625" style="31" customWidth="1"/>
    <col min="15112" max="15112" width="11.5703125" style="31" customWidth="1"/>
    <col min="15113" max="15117" width="0" style="31" hidden="1" customWidth="1"/>
    <col min="15118" max="15118" width="14.28515625" style="31" customWidth="1"/>
    <col min="15119" max="15121" width="7.5703125" style="31" customWidth="1"/>
    <col min="15122" max="15123" width="7.42578125" style="31" customWidth="1"/>
    <col min="15124" max="15361" width="9.140625" style="31"/>
    <col min="15362" max="15362" width="10.85546875" style="31" customWidth="1"/>
    <col min="15363" max="15363" width="52.42578125" style="31" customWidth="1"/>
    <col min="15364" max="15364" width="14.28515625" style="31" customWidth="1"/>
    <col min="15365" max="15365" width="11.85546875" style="31" customWidth="1"/>
    <col min="15366" max="15366" width="10.28515625" style="31" customWidth="1"/>
    <col min="15367" max="15367" width="12.28515625" style="31" customWidth="1"/>
    <col min="15368" max="15368" width="11.5703125" style="31" customWidth="1"/>
    <col min="15369" max="15373" width="0" style="31" hidden="1" customWidth="1"/>
    <col min="15374" max="15374" width="14.28515625" style="31" customWidth="1"/>
    <col min="15375" max="15377" width="7.5703125" style="31" customWidth="1"/>
    <col min="15378" max="15379" width="7.42578125" style="31" customWidth="1"/>
    <col min="15380" max="15617" width="9.140625" style="31"/>
    <col min="15618" max="15618" width="10.85546875" style="31" customWidth="1"/>
    <col min="15619" max="15619" width="52.42578125" style="31" customWidth="1"/>
    <col min="15620" max="15620" width="14.28515625" style="31" customWidth="1"/>
    <col min="15621" max="15621" width="11.85546875" style="31" customWidth="1"/>
    <col min="15622" max="15622" width="10.28515625" style="31" customWidth="1"/>
    <col min="15623" max="15623" width="12.28515625" style="31" customWidth="1"/>
    <col min="15624" max="15624" width="11.5703125" style="31" customWidth="1"/>
    <col min="15625" max="15629" width="0" style="31" hidden="1" customWidth="1"/>
    <col min="15630" max="15630" width="14.28515625" style="31" customWidth="1"/>
    <col min="15631" max="15633" width="7.5703125" style="31" customWidth="1"/>
    <col min="15634" max="15635" width="7.42578125" style="31" customWidth="1"/>
    <col min="15636" max="15873" width="9.140625" style="31"/>
    <col min="15874" max="15874" width="10.85546875" style="31" customWidth="1"/>
    <col min="15875" max="15875" width="52.42578125" style="31" customWidth="1"/>
    <col min="15876" max="15876" width="14.28515625" style="31" customWidth="1"/>
    <col min="15877" max="15877" width="11.85546875" style="31" customWidth="1"/>
    <col min="15878" max="15878" width="10.28515625" style="31" customWidth="1"/>
    <col min="15879" max="15879" width="12.28515625" style="31" customWidth="1"/>
    <col min="15880" max="15880" width="11.5703125" style="31" customWidth="1"/>
    <col min="15881" max="15885" width="0" style="31" hidden="1" customWidth="1"/>
    <col min="15886" max="15886" width="14.28515625" style="31" customWidth="1"/>
    <col min="15887" max="15889" width="7.5703125" style="31" customWidth="1"/>
    <col min="15890" max="15891" width="7.42578125" style="31" customWidth="1"/>
    <col min="15892" max="16129" width="9.140625" style="31"/>
    <col min="16130" max="16130" width="10.85546875" style="31" customWidth="1"/>
    <col min="16131" max="16131" width="52.42578125" style="31" customWidth="1"/>
    <col min="16132" max="16132" width="14.28515625" style="31" customWidth="1"/>
    <col min="16133" max="16133" width="11.85546875" style="31" customWidth="1"/>
    <col min="16134" max="16134" width="10.28515625" style="31" customWidth="1"/>
    <col min="16135" max="16135" width="12.28515625" style="31" customWidth="1"/>
    <col min="16136" max="16136" width="11.5703125" style="31" customWidth="1"/>
    <col min="16137" max="16141" width="0" style="31" hidden="1" customWidth="1"/>
    <col min="16142" max="16142" width="14.28515625" style="31" customWidth="1"/>
    <col min="16143" max="16145" width="7.5703125" style="31" customWidth="1"/>
    <col min="16146" max="16147" width="7.42578125" style="31" customWidth="1"/>
    <col min="16148" max="16384" width="9.140625" style="31"/>
  </cols>
  <sheetData>
    <row r="1" spans="1:27" ht="33" customHeight="1" x14ac:dyDescent="0.25">
      <c r="A1" s="26"/>
      <c r="B1" s="26"/>
      <c r="C1" s="27"/>
      <c r="D1" s="27"/>
      <c r="E1" s="28"/>
      <c r="F1" s="28"/>
      <c r="G1" s="29"/>
      <c r="H1" s="29"/>
      <c r="I1" s="29"/>
      <c r="J1" s="29"/>
      <c r="K1" s="29"/>
      <c r="L1" s="29"/>
      <c r="M1" s="522" t="s">
        <v>101</v>
      </c>
      <c r="N1" s="522"/>
      <c r="O1" s="522"/>
      <c r="P1" s="522"/>
      <c r="Q1" s="522"/>
      <c r="R1" s="522"/>
      <c r="S1" s="522"/>
      <c r="T1" s="522"/>
    </row>
    <row r="2" spans="1:27" ht="20.25" customHeight="1" x14ac:dyDescent="0.25">
      <c r="A2" s="26"/>
      <c r="B2" s="26"/>
      <c r="C2" s="27"/>
      <c r="D2" s="27"/>
      <c r="E2" s="28"/>
      <c r="F2" s="28"/>
      <c r="G2" s="29"/>
      <c r="H2" s="29"/>
      <c r="I2" s="29"/>
      <c r="J2" s="29"/>
      <c r="K2" s="29"/>
      <c r="L2" s="29"/>
      <c r="M2" s="523" t="s">
        <v>102</v>
      </c>
      <c r="N2" s="523"/>
      <c r="O2" s="523"/>
      <c r="P2" s="523"/>
      <c r="Q2" s="523"/>
      <c r="R2" s="523"/>
      <c r="S2" s="523"/>
      <c r="T2" s="523"/>
    </row>
    <row r="3" spans="1:27" ht="20.25" customHeight="1" x14ac:dyDescent="0.25">
      <c r="A3" s="26"/>
      <c r="B3" s="26"/>
      <c r="C3" s="27"/>
      <c r="D3" s="27"/>
      <c r="E3" s="28"/>
      <c r="F3" s="28"/>
      <c r="G3" s="29"/>
      <c r="H3" s="29"/>
      <c r="I3" s="29"/>
      <c r="J3" s="29"/>
      <c r="K3" s="29"/>
      <c r="L3" s="29"/>
      <c r="M3" s="523" t="s">
        <v>103</v>
      </c>
      <c r="N3" s="523"/>
      <c r="O3" s="523"/>
      <c r="P3" s="523"/>
      <c r="Q3" s="523"/>
      <c r="R3" s="523"/>
      <c r="S3" s="523"/>
      <c r="T3" s="523"/>
    </row>
    <row r="4" spans="1:27" ht="18" customHeight="1" x14ac:dyDescent="0.25">
      <c r="A4" s="524" t="s">
        <v>104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</row>
    <row r="5" spans="1:27" ht="18" customHeight="1" x14ac:dyDescent="0.25">
      <c r="A5" s="524" t="s">
        <v>105</v>
      </c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</row>
    <row r="6" spans="1:27" ht="18.600000000000001" customHeight="1" x14ac:dyDescent="0.2">
      <c r="A6" s="521" t="s">
        <v>106</v>
      </c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521"/>
      <c r="Q6" s="521"/>
      <c r="R6" s="521"/>
      <c r="S6" s="521"/>
      <c r="T6" s="521"/>
    </row>
    <row r="7" spans="1:27" ht="17.45" customHeight="1" x14ac:dyDescent="0.2">
      <c r="A7" s="525" t="s">
        <v>107</v>
      </c>
      <c r="B7" s="525"/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5"/>
    </row>
    <row r="8" spans="1:27" ht="87.75" customHeight="1" x14ac:dyDescent="0.2">
      <c r="A8" s="526" t="s">
        <v>108</v>
      </c>
      <c r="B8" s="526" t="s">
        <v>109</v>
      </c>
      <c r="C8" s="526" t="s">
        <v>110</v>
      </c>
      <c r="D8" s="531" t="s">
        <v>111</v>
      </c>
      <c r="E8" s="532"/>
      <c r="F8" s="532"/>
      <c r="G8" s="532"/>
      <c r="H8" s="532"/>
      <c r="I8" s="532"/>
      <c r="J8" s="533"/>
      <c r="K8" s="534" t="s">
        <v>112</v>
      </c>
      <c r="L8" s="534" t="s">
        <v>113</v>
      </c>
      <c r="M8" s="526" t="s">
        <v>114</v>
      </c>
      <c r="N8" s="537" t="s">
        <v>115</v>
      </c>
      <c r="O8" s="538"/>
      <c r="P8" s="538"/>
      <c r="Q8" s="538"/>
      <c r="R8" s="538"/>
      <c r="S8" s="538"/>
      <c r="T8" s="539"/>
    </row>
    <row r="9" spans="1:27" ht="15.75" customHeight="1" x14ac:dyDescent="0.25">
      <c r="A9" s="527"/>
      <c r="B9" s="527"/>
      <c r="C9" s="529"/>
      <c r="D9" s="526" t="s">
        <v>116</v>
      </c>
      <c r="E9" s="546" t="s">
        <v>117</v>
      </c>
      <c r="F9" s="546"/>
      <c r="G9" s="546"/>
      <c r="H9" s="546"/>
      <c r="I9" s="546"/>
      <c r="J9" s="546"/>
      <c r="K9" s="535"/>
      <c r="L9" s="535"/>
      <c r="M9" s="527"/>
      <c r="N9" s="547">
        <v>2018</v>
      </c>
      <c r="O9" s="526">
        <v>2020</v>
      </c>
      <c r="P9" s="526">
        <v>2021</v>
      </c>
      <c r="Q9" s="526">
        <v>2022</v>
      </c>
      <c r="R9" s="526">
        <v>2023</v>
      </c>
      <c r="S9" s="526">
        <v>2024</v>
      </c>
      <c r="T9" s="526">
        <v>2025</v>
      </c>
    </row>
    <row r="10" spans="1:27" ht="51" customHeight="1" x14ac:dyDescent="0.2">
      <c r="A10" s="527"/>
      <c r="B10" s="527"/>
      <c r="C10" s="529"/>
      <c r="D10" s="527"/>
      <c r="E10" s="543" t="s">
        <v>118</v>
      </c>
      <c r="F10" s="545" t="s">
        <v>119</v>
      </c>
      <c r="G10" s="545" t="s">
        <v>120</v>
      </c>
      <c r="H10" s="545" t="s">
        <v>121</v>
      </c>
      <c r="I10" s="531" t="s">
        <v>122</v>
      </c>
      <c r="J10" s="533"/>
      <c r="K10" s="535"/>
      <c r="L10" s="535"/>
      <c r="M10" s="527"/>
      <c r="N10" s="547"/>
      <c r="O10" s="527"/>
      <c r="P10" s="527"/>
      <c r="Q10" s="527"/>
      <c r="R10" s="527"/>
      <c r="S10" s="527"/>
      <c r="T10" s="527"/>
      <c r="U10" s="32"/>
      <c r="Z10" s="30"/>
      <c r="AA10" s="30"/>
    </row>
    <row r="11" spans="1:27" ht="105" customHeight="1" x14ac:dyDescent="0.2">
      <c r="A11" s="528"/>
      <c r="B11" s="528"/>
      <c r="C11" s="530"/>
      <c r="D11" s="528"/>
      <c r="E11" s="544"/>
      <c r="F11" s="545"/>
      <c r="G11" s="545"/>
      <c r="H11" s="545"/>
      <c r="I11" s="33" t="s">
        <v>123</v>
      </c>
      <c r="J11" s="33" t="s">
        <v>124</v>
      </c>
      <c r="K11" s="536"/>
      <c r="L11" s="536"/>
      <c r="M11" s="528"/>
      <c r="N11" s="547"/>
      <c r="O11" s="528"/>
      <c r="P11" s="528"/>
      <c r="Q11" s="528"/>
      <c r="R11" s="528"/>
      <c r="S11" s="528"/>
      <c r="T11" s="528"/>
      <c r="U11" s="32"/>
      <c r="V11" s="540"/>
      <c r="W11" s="540"/>
      <c r="X11" s="540"/>
      <c r="Y11" s="540"/>
      <c r="Z11" s="540"/>
      <c r="AA11" s="30"/>
    </row>
    <row r="12" spans="1:27" s="39" customFormat="1" ht="15.75" customHeight="1" x14ac:dyDescent="0.25">
      <c r="A12" s="34">
        <v>1</v>
      </c>
      <c r="B12" s="34">
        <v>2</v>
      </c>
      <c r="C12" s="34">
        <v>3</v>
      </c>
      <c r="D12" s="34">
        <v>4</v>
      </c>
      <c r="E12" s="34">
        <v>5</v>
      </c>
      <c r="F12" s="34">
        <v>6</v>
      </c>
      <c r="G12" s="35">
        <v>7</v>
      </c>
      <c r="H12" s="34">
        <v>8</v>
      </c>
      <c r="I12" s="34">
        <v>9</v>
      </c>
      <c r="J12" s="34">
        <v>10</v>
      </c>
      <c r="K12" s="36">
        <v>11</v>
      </c>
      <c r="L12" s="36">
        <v>12</v>
      </c>
      <c r="M12" s="36">
        <v>13</v>
      </c>
      <c r="N12" s="36">
        <v>14</v>
      </c>
      <c r="O12" s="36">
        <v>15</v>
      </c>
      <c r="P12" s="36">
        <v>16</v>
      </c>
      <c r="Q12" s="36">
        <v>17</v>
      </c>
      <c r="R12" s="36">
        <v>18</v>
      </c>
      <c r="S12" s="36">
        <v>19</v>
      </c>
      <c r="T12" s="36">
        <v>20</v>
      </c>
      <c r="U12" s="37"/>
      <c r="V12" s="540"/>
      <c r="W12" s="540"/>
      <c r="X12" s="540"/>
      <c r="Y12" s="540"/>
      <c r="Z12" s="540"/>
      <c r="AA12" s="38"/>
    </row>
    <row r="13" spans="1:27" ht="18.75" customHeight="1" x14ac:dyDescent="0.25">
      <c r="A13" s="34"/>
      <c r="B13" s="541" t="s">
        <v>125</v>
      </c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542"/>
      <c r="N13" s="542"/>
      <c r="O13" s="542"/>
      <c r="P13" s="542"/>
      <c r="Q13" s="542"/>
      <c r="R13" s="542"/>
      <c r="S13" s="542"/>
      <c r="T13" s="542"/>
      <c r="U13" s="40"/>
      <c r="V13" s="540"/>
      <c r="W13" s="540"/>
      <c r="X13" s="540"/>
      <c r="Y13" s="540"/>
      <c r="Z13" s="540"/>
      <c r="AA13" s="30"/>
    </row>
    <row r="14" spans="1:27" ht="18" customHeight="1" x14ac:dyDescent="0.25">
      <c r="A14" s="41"/>
      <c r="B14" s="541" t="s">
        <v>126</v>
      </c>
      <c r="C14" s="542"/>
      <c r="D14" s="542"/>
      <c r="E14" s="542"/>
      <c r="F14" s="542"/>
      <c r="G14" s="542"/>
      <c r="H14" s="542"/>
      <c r="I14" s="542"/>
      <c r="J14" s="542"/>
      <c r="K14" s="542"/>
      <c r="L14" s="542"/>
      <c r="M14" s="542"/>
      <c r="N14" s="542"/>
      <c r="O14" s="542"/>
      <c r="P14" s="542"/>
      <c r="Q14" s="542"/>
      <c r="R14" s="542"/>
      <c r="S14" s="542"/>
      <c r="T14" s="542"/>
      <c r="U14" s="42"/>
      <c r="V14" s="540"/>
      <c r="W14" s="540"/>
      <c r="X14" s="540"/>
      <c r="Y14" s="540"/>
      <c r="Z14" s="540"/>
      <c r="AA14" s="30"/>
    </row>
    <row r="15" spans="1:27" ht="23.25" customHeight="1" x14ac:dyDescent="0.25">
      <c r="A15" s="43" t="s">
        <v>127</v>
      </c>
      <c r="B15" s="549" t="s">
        <v>128</v>
      </c>
      <c r="C15" s="550"/>
      <c r="D15" s="550"/>
      <c r="E15" s="550"/>
      <c r="F15" s="550"/>
      <c r="G15" s="550"/>
      <c r="H15" s="550"/>
      <c r="I15" s="550"/>
      <c r="J15" s="550"/>
      <c r="K15" s="550"/>
      <c r="L15" s="550"/>
      <c r="M15" s="550"/>
      <c r="N15" s="550"/>
      <c r="O15" s="550"/>
      <c r="P15" s="550"/>
      <c r="Q15" s="550"/>
      <c r="R15" s="550"/>
      <c r="S15" s="550"/>
      <c r="T15" s="550"/>
      <c r="U15" s="42"/>
      <c r="V15" s="44"/>
      <c r="W15" s="44"/>
      <c r="Z15" s="30"/>
      <c r="AA15" s="30"/>
    </row>
    <row r="16" spans="1:27" ht="48" customHeight="1" x14ac:dyDescent="0.25">
      <c r="A16" s="45" t="s">
        <v>129</v>
      </c>
      <c r="B16" s="46" t="s">
        <v>130</v>
      </c>
      <c r="C16" s="34"/>
      <c r="D16" s="47">
        <v>47421</v>
      </c>
      <c r="E16" s="48"/>
      <c r="F16" s="49">
        <f>D16-E16</f>
        <v>47421</v>
      </c>
      <c r="G16" s="49"/>
      <c r="H16" s="49"/>
      <c r="I16" s="49"/>
      <c r="J16" s="49"/>
      <c r="K16" s="49"/>
      <c r="L16" s="49"/>
      <c r="M16" s="49"/>
      <c r="N16" s="49">
        <v>5906.616</v>
      </c>
      <c r="O16" s="50">
        <v>10705.232</v>
      </c>
      <c r="P16" s="50">
        <v>5200.6139999999996</v>
      </c>
      <c r="Q16" s="50"/>
      <c r="R16" s="50">
        <v>10491.998</v>
      </c>
      <c r="S16" s="50">
        <v>9204.5110000000004</v>
      </c>
      <c r="T16" s="50">
        <v>5912.4830000000002</v>
      </c>
      <c r="U16" s="51">
        <v>10</v>
      </c>
      <c r="V16" s="51"/>
      <c r="W16" s="51"/>
    </row>
    <row r="17" spans="1:25" ht="21.75" customHeight="1" x14ac:dyDescent="0.25">
      <c r="A17" s="45" t="s">
        <v>131</v>
      </c>
      <c r="B17" s="52" t="s">
        <v>132</v>
      </c>
      <c r="C17" s="34"/>
      <c r="D17" s="47">
        <v>5820</v>
      </c>
      <c r="E17" s="48"/>
      <c r="F17" s="49">
        <f>D17-E17</f>
        <v>5820</v>
      </c>
      <c r="G17" s="49"/>
      <c r="H17" s="49"/>
      <c r="I17" s="49"/>
      <c r="J17" s="49"/>
      <c r="K17" s="49"/>
      <c r="L17" s="49"/>
      <c r="M17" s="49"/>
      <c r="N17" s="49"/>
      <c r="O17" s="50">
        <v>2190.56</v>
      </c>
      <c r="P17" s="50">
        <v>2795.8</v>
      </c>
      <c r="Q17" s="50"/>
      <c r="R17" s="50">
        <v>833.53599999999994</v>
      </c>
      <c r="S17" s="50"/>
      <c r="T17" s="50"/>
      <c r="U17" s="51">
        <v>10</v>
      </c>
      <c r="V17" s="51"/>
      <c r="W17" s="51"/>
    </row>
    <row r="18" spans="1:25" ht="30.75" customHeight="1" x14ac:dyDescent="0.25">
      <c r="A18" s="45" t="s">
        <v>133</v>
      </c>
      <c r="B18" s="53" t="s">
        <v>134</v>
      </c>
      <c r="C18" s="34"/>
      <c r="D18" s="47">
        <v>7813</v>
      </c>
      <c r="E18" s="48"/>
      <c r="F18" s="49">
        <v>7813</v>
      </c>
      <c r="G18" s="49"/>
      <c r="H18" s="49"/>
      <c r="I18" s="49"/>
      <c r="J18" s="49"/>
      <c r="K18" s="49"/>
      <c r="L18" s="49"/>
      <c r="M18" s="49"/>
      <c r="N18" s="49"/>
      <c r="O18" s="50">
        <v>1804.896</v>
      </c>
      <c r="P18" s="50">
        <v>6007.6790000000001</v>
      </c>
      <c r="Q18" s="50"/>
      <c r="R18" s="50"/>
      <c r="S18" s="50"/>
      <c r="T18" s="50"/>
      <c r="U18" s="51">
        <v>10</v>
      </c>
      <c r="V18" s="51"/>
      <c r="W18" s="51"/>
    </row>
    <row r="19" spans="1:25" ht="37.5" customHeight="1" x14ac:dyDescent="0.25">
      <c r="A19" s="45" t="s">
        <v>135</v>
      </c>
      <c r="B19" s="53" t="s">
        <v>136</v>
      </c>
      <c r="C19" s="34"/>
      <c r="D19" s="47">
        <v>1737</v>
      </c>
      <c r="E19" s="48"/>
      <c r="F19" s="49">
        <f>D19</f>
        <v>1737</v>
      </c>
      <c r="G19" s="49"/>
      <c r="H19" s="49"/>
      <c r="I19" s="49"/>
      <c r="J19" s="49"/>
      <c r="K19" s="49"/>
      <c r="L19" s="49"/>
      <c r="M19" s="49"/>
      <c r="N19" s="49"/>
      <c r="O19" s="50"/>
      <c r="P19" s="50"/>
      <c r="Q19" s="50"/>
      <c r="R19" s="50">
        <v>1737.0039999999999</v>
      </c>
      <c r="S19" s="50"/>
      <c r="T19" s="50"/>
      <c r="U19" s="51">
        <v>5</v>
      </c>
      <c r="V19" s="51"/>
      <c r="W19" s="51"/>
    </row>
    <row r="20" spans="1:25" ht="38.25" customHeight="1" x14ac:dyDescent="0.25">
      <c r="A20" s="45" t="s">
        <v>137</v>
      </c>
      <c r="B20" s="53" t="s">
        <v>138</v>
      </c>
      <c r="C20" s="34"/>
      <c r="D20" s="47">
        <v>1928</v>
      </c>
      <c r="E20" s="48"/>
      <c r="F20" s="49">
        <f>D20</f>
        <v>1928</v>
      </c>
      <c r="G20" s="49"/>
      <c r="H20" s="49"/>
      <c r="I20" s="49"/>
      <c r="J20" s="49"/>
      <c r="K20" s="49"/>
      <c r="L20" s="49"/>
      <c r="M20" s="49"/>
      <c r="N20" s="49"/>
      <c r="O20" s="50"/>
      <c r="P20" s="50"/>
      <c r="Q20" s="50"/>
      <c r="R20" s="50"/>
      <c r="S20" s="50"/>
      <c r="T20" s="50">
        <v>1927.53</v>
      </c>
      <c r="U20" s="51">
        <v>5</v>
      </c>
      <c r="V20" s="51"/>
      <c r="W20" s="51"/>
    </row>
    <row r="21" spans="1:25" ht="35.25" customHeight="1" x14ac:dyDescent="0.25">
      <c r="A21" s="45" t="s">
        <v>139</v>
      </c>
      <c r="B21" s="53" t="s">
        <v>140</v>
      </c>
      <c r="C21" s="34"/>
      <c r="D21" s="47">
        <v>1024</v>
      </c>
      <c r="E21" s="48"/>
      <c r="F21" s="49">
        <f>D21</f>
        <v>1024</v>
      </c>
      <c r="G21" s="49"/>
      <c r="H21" s="49"/>
      <c r="I21" s="49"/>
      <c r="J21" s="49"/>
      <c r="K21" s="49"/>
      <c r="L21" s="49"/>
      <c r="M21" s="49"/>
      <c r="N21" s="49"/>
      <c r="O21" s="50"/>
      <c r="P21" s="50"/>
      <c r="Q21" s="50"/>
      <c r="R21" s="50"/>
      <c r="S21" s="50">
        <v>1023.846</v>
      </c>
      <c r="T21" s="50"/>
      <c r="U21" s="51">
        <v>5</v>
      </c>
      <c r="V21" s="51"/>
      <c r="W21" s="51"/>
    </row>
    <row r="22" spans="1:25" ht="36.75" customHeight="1" x14ac:dyDescent="0.25">
      <c r="A22" s="45" t="s">
        <v>141</v>
      </c>
      <c r="B22" s="53" t="s">
        <v>142</v>
      </c>
      <c r="C22" s="34"/>
      <c r="D22" s="47">
        <v>253</v>
      </c>
      <c r="E22" s="48"/>
      <c r="F22" s="49">
        <f>D22</f>
        <v>253</v>
      </c>
      <c r="G22" s="49"/>
      <c r="H22" s="49"/>
      <c r="I22" s="49"/>
      <c r="J22" s="49"/>
      <c r="K22" s="49"/>
      <c r="L22" s="49"/>
      <c r="M22" s="49"/>
      <c r="N22" s="49"/>
      <c r="O22" s="50">
        <v>20.574000000000002</v>
      </c>
      <c r="P22" s="50">
        <v>232.75299999999999</v>
      </c>
      <c r="Q22" s="50"/>
      <c r="R22" s="50"/>
      <c r="S22" s="50"/>
      <c r="T22" s="50"/>
      <c r="U22" s="51">
        <v>5</v>
      </c>
      <c r="V22" s="51"/>
      <c r="W22" s="51"/>
    </row>
    <row r="23" spans="1:25" ht="25.5" customHeight="1" x14ac:dyDescent="0.25">
      <c r="A23" s="541" t="s">
        <v>143</v>
      </c>
      <c r="B23" s="542"/>
      <c r="C23" s="548"/>
      <c r="D23" s="54">
        <f>D16+D17+D18+D19+D20+D21+D22</f>
        <v>65996</v>
      </c>
      <c r="E23" s="55">
        <f>E16+E17</f>
        <v>0</v>
      </c>
      <c r="F23" s="47">
        <f>F16+F17+F18+F19+F20+F21+F22</f>
        <v>65996</v>
      </c>
      <c r="G23" s="56"/>
      <c r="H23" s="56"/>
      <c r="I23" s="56"/>
      <c r="J23" s="56"/>
      <c r="K23" s="56"/>
      <c r="L23" s="56"/>
      <c r="M23" s="56"/>
      <c r="N23" s="47">
        <f>SUM(N16:N22)</f>
        <v>5906.616</v>
      </c>
      <c r="O23" s="47">
        <f t="shared" ref="O23:T23" si="0">O16+O17+O18+O19+O20+O21+O22</f>
        <v>14721.262000000001</v>
      </c>
      <c r="P23" s="47">
        <f t="shared" si="0"/>
        <v>14236.846000000001</v>
      </c>
      <c r="Q23" s="47">
        <f t="shared" si="0"/>
        <v>0</v>
      </c>
      <c r="R23" s="47">
        <f t="shared" si="0"/>
        <v>13062.538</v>
      </c>
      <c r="S23" s="47">
        <f t="shared" si="0"/>
        <v>10228.357</v>
      </c>
      <c r="T23" s="47">
        <f t="shared" si="0"/>
        <v>7840.0129999999999</v>
      </c>
      <c r="U23" s="38"/>
      <c r="V23" s="38"/>
      <c r="W23" s="38"/>
    </row>
    <row r="24" spans="1:25" ht="22.5" customHeight="1" x14ac:dyDescent="0.25">
      <c r="A24" s="56" t="s">
        <v>144</v>
      </c>
      <c r="B24" s="549" t="s">
        <v>145</v>
      </c>
      <c r="C24" s="550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7"/>
      <c r="V24" s="57"/>
      <c r="W24" s="57"/>
    </row>
    <row r="25" spans="1:25" ht="29.25" customHeight="1" x14ac:dyDescent="0.25">
      <c r="A25" s="56" t="s">
        <v>146</v>
      </c>
      <c r="B25" s="58" t="s">
        <v>147</v>
      </c>
      <c r="C25" s="59"/>
      <c r="D25" s="60">
        <v>4843</v>
      </c>
      <c r="E25" s="59"/>
      <c r="F25" s="61">
        <f>D25</f>
        <v>4843</v>
      </c>
      <c r="G25" s="59"/>
      <c r="H25" s="59"/>
      <c r="I25" s="59"/>
      <c r="J25" s="59"/>
      <c r="K25" s="59"/>
      <c r="L25" s="59"/>
      <c r="M25" s="59"/>
      <c r="N25" s="59"/>
      <c r="O25" s="61">
        <v>4843.3140000000003</v>
      </c>
      <c r="P25" s="61"/>
      <c r="Q25" s="61"/>
      <c r="R25" s="60"/>
      <c r="S25" s="60"/>
      <c r="T25" s="60"/>
      <c r="U25" s="51">
        <v>4</v>
      </c>
      <c r="V25" s="57"/>
      <c r="W25" s="57"/>
    </row>
    <row r="26" spans="1:25" ht="38.25" customHeight="1" x14ac:dyDescent="0.25">
      <c r="A26" s="56" t="s">
        <v>148</v>
      </c>
      <c r="B26" s="62" t="s">
        <v>149</v>
      </c>
      <c r="C26" s="34"/>
      <c r="D26" s="60">
        <v>3213</v>
      </c>
      <c r="E26" s="49"/>
      <c r="F26" s="63">
        <f>D26</f>
        <v>3213</v>
      </c>
      <c r="G26" s="49"/>
      <c r="H26" s="49"/>
      <c r="I26" s="49"/>
      <c r="J26" s="49"/>
      <c r="K26" s="49"/>
      <c r="L26" s="49"/>
      <c r="M26" s="49"/>
      <c r="N26" s="49"/>
      <c r="O26" s="50">
        <v>3212.8429999999998</v>
      </c>
      <c r="P26" s="50"/>
      <c r="Q26" s="50"/>
      <c r="R26" s="47"/>
      <c r="S26" s="47"/>
      <c r="T26" s="47"/>
      <c r="U26" s="51">
        <v>4</v>
      </c>
      <c r="V26" s="51"/>
      <c r="W26" s="51"/>
    </row>
    <row r="27" spans="1:25" ht="23.25" customHeight="1" x14ac:dyDescent="0.25">
      <c r="A27" s="541" t="s">
        <v>150</v>
      </c>
      <c r="B27" s="542"/>
      <c r="C27" s="548"/>
      <c r="D27" s="47">
        <f>D25+D26</f>
        <v>8056</v>
      </c>
      <c r="E27" s="56"/>
      <c r="F27" s="47">
        <f>D27</f>
        <v>8056</v>
      </c>
      <c r="G27" s="56"/>
      <c r="H27" s="56"/>
      <c r="I27" s="56"/>
      <c r="J27" s="56"/>
      <c r="K27" s="56"/>
      <c r="L27" s="56"/>
      <c r="M27" s="56"/>
      <c r="N27" s="34">
        <v>0</v>
      </c>
      <c r="O27" s="47">
        <f>O25+O26</f>
        <v>8056.1570000000002</v>
      </c>
      <c r="P27" s="47">
        <f>P25+P26</f>
        <v>0</v>
      </c>
      <c r="Q27" s="47">
        <f>Q25+Q26</f>
        <v>0</v>
      </c>
      <c r="R27" s="47">
        <v>0</v>
      </c>
      <c r="S27" s="47">
        <v>0</v>
      </c>
      <c r="T27" s="47">
        <v>0</v>
      </c>
      <c r="U27" s="38"/>
      <c r="V27" s="38"/>
      <c r="W27" s="38"/>
    </row>
    <row r="28" spans="1:25" ht="22.5" customHeight="1" x14ac:dyDescent="0.25">
      <c r="A28" s="41" t="s">
        <v>151</v>
      </c>
      <c r="B28" s="549" t="s">
        <v>152</v>
      </c>
      <c r="C28" s="550"/>
      <c r="D28" s="550"/>
      <c r="E28" s="550"/>
      <c r="F28" s="550"/>
      <c r="G28" s="550"/>
      <c r="H28" s="550"/>
      <c r="I28" s="550"/>
      <c r="J28" s="550"/>
      <c r="K28" s="550"/>
      <c r="L28" s="550"/>
      <c r="M28" s="550"/>
      <c r="N28" s="550"/>
      <c r="O28" s="550"/>
      <c r="P28" s="550"/>
      <c r="Q28" s="550"/>
      <c r="R28" s="550"/>
      <c r="S28" s="550"/>
      <c r="T28" s="550"/>
      <c r="U28" s="57"/>
      <c r="V28" s="57"/>
      <c r="W28" s="57"/>
    </row>
    <row r="29" spans="1:25" ht="50.25" customHeight="1" x14ac:dyDescent="0.25">
      <c r="A29" s="34"/>
      <c r="B29" s="64" t="s">
        <v>153</v>
      </c>
      <c r="C29" s="65"/>
      <c r="D29" s="60">
        <v>4297</v>
      </c>
      <c r="E29" s="65"/>
      <c r="F29" s="61">
        <f>D29</f>
        <v>4297</v>
      </c>
      <c r="G29" s="65"/>
      <c r="H29" s="65"/>
      <c r="I29" s="65"/>
      <c r="J29" s="65"/>
      <c r="K29" s="65"/>
      <c r="L29" s="65"/>
      <c r="M29" s="65"/>
      <c r="N29" s="65"/>
      <c r="O29" s="47"/>
      <c r="P29" s="47"/>
      <c r="Q29" s="50">
        <v>4297.4350000000004</v>
      </c>
      <c r="R29" s="50"/>
      <c r="S29" s="47"/>
      <c r="T29" s="47"/>
      <c r="U29" s="51">
        <v>2</v>
      </c>
      <c r="V29" s="51"/>
      <c r="W29" s="51"/>
    </row>
    <row r="30" spans="1:25" ht="18" customHeight="1" x14ac:dyDescent="0.25">
      <c r="A30" s="541" t="s">
        <v>154</v>
      </c>
      <c r="B30" s="542"/>
      <c r="C30" s="548"/>
      <c r="D30" s="47">
        <f>D29</f>
        <v>4297</v>
      </c>
      <c r="E30" s="56"/>
      <c r="F30" s="47">
        <f>D30</f>
        <v>4297</v>
      </c>
      <c r="G30" s="56"/>
      <c r="H30" s="56"/>
      <c r="I30" s="56"/>
      <c r="J30" s="56"/>
      <c r="K30" s="56"/>
      <c r="L30" s="56"/>
      <c r="M30" s="56"/>
      <c r="N30" s="34">
        <v>0</v>
      </c>
      <c r="O30" s="66">
        <f>O29</f>
        <v>0</v>
      </c>
      <c r="P30" s="66">
        <f>P29</f>
        <v>0</v>
      </c>
      <c r="Q30" s="66">
        <f>Q29</f>
        <v>4297.4350000000004</v>
      </c>
      <c r="R30" s="47">
        <v>0</v>
      </c>
      <c r="S30" s="34">
        <v>0</v>
      </c>
      <c r="T30" s="34">
        <v>0</v>
      </c>
      <c r="U30" s="38"/>
      <c r="V30" s="38"/>
      <c r="W30" s="38"/>
    </row>
    <row r="31" spans="1:25" s="74" customFormat="1" ht="25.5" customHeight="1" x14ac:dyDescent="0.25">
      <c r="A31" s="551" t="s">
        <v>155</v>
      </c>
      <c r="B31" s="551"/>
      <c r="C31" s="551"/>
      <c r="D31" s="67">
        <f>D23+D27+D30</f>
        <v>78349</v>
      </c>
      <c r="E31" s="68">
        <f>E23+E27+E30</f>
        <v>0</v>
      </c>
      <c r="F31" s="68">
        <f>F23+F27+F30</f>
        <v>78349</v>
      </c>
      <c r="G31" s="69"/>
      <c r="H31" s="69"/>
      <c r="I31" s="69"/>
      <c r="J31" s="70"/>
      <c r="K31" s="69"/>
      <c r="L31" s="70"/>
      <c r="M31" s="69"/>
      <c r="N31" s="71">
        <f>N30+N27+N23</f>
        <v>5906.616</v>
      </c>
      <c r="O31" s="66">
        <f>O23+O27+O30</f>
        <v>22777.419000000002</v>
      </c>
      <c r="P31" s="66">
        <f t="shared" ref="P31:T31" si="1">P23+P27+P30</f>
        <v>14236.846000000001</v>
      </c>
      <c r="Q31" s="66">
        <f t="shared" si="1"/>
        <v>4297.4350000000004</v>
      </c>
      <c r="R31" s="66">
        <f t="shared" si="1"/>
        <v>13062.538</v>
      </c>
      <c r="S31" s="66">
        <f t="shared" si="1"/>
        <v>10228.357</v>
      </c>
      <c r="T31" s="66">
        <f t="shared" si="1"/>
        <v>7840.0129999999999</v>
      </c>
      <c r="U31" s="72"/>
      <c r="V31" s="72"/>
      <c r="W31" s="72"/>
      <c r="X31" s="73"/>
      <c r="Y31" s="73"/>
    </row>
    <row r="32" spans="1:25" ht="15.75" x14ac:dyDescent="0.25">
      <c r="A32" s="75"/>
      <c r="B32" s="75"/>
      <c r="C32" s="75"/>
      <c r="D32" s="75"/>
      <c r="E32" s="75"/>
      <c r="F32" s="75"/>
      <c r="G32" s="75"/>
      <c r="H32" s="76"/>
      <c r="I32" s="76"/>
      <c r="J32" s="76"/>
      <c r="K32" s="76"/>
      <c r="L32" s="76"/>
      <c r="M32" s="76"/>
      <c r="N32" s="76"/>
      <c r="O32" s="77"/>
      <c r="P32" s="77"/>
      <c r="Q32" s="77"/>
      <c r="R32" s="77"/>
      <c r="S32" s="78"/>
      <c r="T32" s="78"/>
      <c r="U32" s="51"/>
      <c r="V32" s="51"/>
      <c r="W32" s="51"/>
    </row>
    <row r="33" spans="1:27" ht="15.75" x14ac:dyDescent="0.25">
      <c r="A33" s="79"/>
      <c r="B33" s="80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81"/>
      <c r="P33" s="81"/>
      <c r="Q33" s="81"/>
      <c r="R33" s="81"/>
      <c r="S33" s="76"/>
      <c r="T33" s="76"/>
      <c r="U33" s="51"/>
      <c r="V33" s="51"/>
      <c r="W33" s="51"/>
    </row>
    <row r="34" spans="1:27" s="30" customFormat="1" ht="23.25" customHeight="1" x14ac:dyDescent="0.25">
      <c r="A34" s="552"/>
      <c r="B34" s="552"/>
      <c r="C34" s="552"/>
      <c r="D34" s="76"/>
      <c r="E34" s="553"/>
      <c r="F34" s="553"/>
      <c r="G34" s="553"/>
      <c r="H34" s="553"/>
      <c r="I34" s="553"/>
      <c r="J34" s="553"/>
      <c r="K34" s="76"/>
      <c r="L34" s="76"/>
      <c r="M34" s="76"/>
      <c r="N34" s="76"/>
      <c r="O34" s="81"/>
      <c r="P34" s="81"/>
      <c r="Q34" s="81"/>
      <c r="R34" s="81"/>
      <c r="S34" s="76"/>
      <c r="T34" s="76"/>
      <c r="U34" s="51"/>
      <c r="V34" s="51"/>
      <c r="W34" s="51"/>
      <c r="Z34" s="31"/>
      <c r="AA34" s="31"/>
    </row>
    <row r="35" spans="1:27" s="30" customFormat="1" ht="13.5" customHeight="1" x14ac:dyDescent="0.25">
      <c r="A35" s="552"/>
      <c r="B35" s="552"/>
      <c r="C35" s="552"/>
      <c r="D35" s="552"/>
      <c r="E35" s="552"/>
      <c r="F35" s="552"/>
      <c r="G35" s="552"/>
      <c r="H35" s="552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51"/>
      <c r="V35" s="51"/>
      <c r="W35" s="51"/>
      <c r="Z35" s="31"/>
      <c r="AA35" s="31"/>
    </row>
    <row r="36" spans="1:27" s="30" customFormat="1" ht="9.75" customHeight="1" x14ac:dyDescent="0.25">
      <c r="A36" s="79"/>
      <c r="B36" s="79"/>
      <c r="C36" s="79"/>
      <c r="D36" s="79"/>
      <c r="E36" s="79"/>
      <c r="F36" s="79"/>
      <c r="G36" s="79"/>
      <c r="H36" s="79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51"/>
      <c r="V36" s="51"/>
      <c r="W36" s="51"/>
      <c r="Z36" s="31"/>
      <c r="AA36" s="31"/>
    </row>
    <row r="37" spans="1:27" s="82" customFormat="1" ht="22.5" customHeight="1" x14ac:dyDescent="0.25">
      <c r="A37" s="552"/>
      <c r="B37" s="552"/>
      <c r="C37" s="552"/>
      <c r="D37" s="76"/>
      <c r="E37" s="552"/>
      <c r="F37" s="552"/>
      <c r="G37" s="552"/>
      <c r="H37" s="552"/>
      <c r="I37" s="552"/>
      <c r="J37" s="552"/>
      <c r="K37" s="76"/>
      <c r="L37" s="76"/>
      <c r="M37" s="76"/>
      <c r="N37" s="76"/>
      <c r="O37" s="78">
        <f>T31+S31+R31+Q31+P31+O31+N31</f>
        <v>78349.224000000002</v>
      </c>
      <c r="P37" s="76"/>
      <c r="Q37" s="76"/>
      <c r="R37" s="76"/>
      <c r="S37" s="76"/>
      <c r="T37" s="76"/>
    </row>
    <row r="38" spans="1:27" s="82" customFormat="1" ht="12" customHeight="1" x14ac:dyDescent="0.2">
      <c r="A38" s="83"/>
      <c r="B38" s="84"/>
      <c r="C38" s="84"/>
      <c r="D38" s="85"/>
      <c r="E38" s="86"/>
      <c r="F38" s="87"/>
      <c r="G38" s="88"/>
      <c r="I38" s="89"/>
      <c r="J38" s="89"/>
      <c r="K38" s="89"/>
      <c r="L38" s="90"/>
      <c r="M38" s="90"/>
      <c r="N38" s="90"/>
      <c r="O38" s="90"/>
      <c r="P38" s="90"/>
      <c r="Q38" s="90"/>
      <c r="R38" s="90"/>
      <c r="S38" s="90"/>
      <c r="T38" s="90"/>
    </row>
  </sheetData>
  <mergeCells count="48">
    <mergeCell ref="A31:C31"/>
    <mergeCell ref="A34:C34"/>
    <mergeCell ref="E34:J34"/>
    <mergeCell ref="A35:H35"/>
    <mergeCell ref="A37:C37"/>
    <mergeCell ref="E37:J37"/>
    <mergeCell ref="A30:C30"/>
    <mergeCell ref="V11:V14"/>
    <mergeCell ref="W11:W14"/>
    <mergeCell ref="X11:X14"/>
    <mergeCell ref="Y11:Y14"/>
    <mergeCell ref="B15:T15"/>
    <mergeCell ref="A23:C23"/>
    <mergeCell ref="B24:T24"/>
    <mergeCell ref="A27:C27"/>
    <mergeCell ref="B28:T28"/>
    <mergeCell ref="Z11:Z14"/>
    <mergeCell ref="B13:T13"/>
    <mergeCell ref="B14:T14"/>
    <mergeCell ref="S9:S11"/>
    <mergeCell ref="T9:T11"/>
    <mergeCell ref="E10:E11"/>
    <mergeCell ref="F10:F11"/>
    <mergeCell ref="G10:G11"/>
    <mergeCell ref="H10:H11"/>
    <mergeCell ref="I10:J10"/>
    <mergeCell ref="E9:J9"/>
    <mergeCell ref="N9:N11"/>
    <mergeCell ref="O9:O11"/>
    <mergeCell ref="P9:P11"/>
    <mergeCell ref="Q9:Q11"/>
    <mergeCell ref="R9:R11"/>
    <mergeCell ref="A7:T7"/>
    <mergeCell ref="A8:A11"/>
    <mergeCell ref="B8:B11"/>
    <mergeCell ref="C8:C11"/>
    <mergeCell ref="D8:J8"/>
    <mergeCell ref="K8:K11"/>
    <mergeCell ref="L8:L11"/>
    <mergeCell ref="M8:M11"/>
    <mergeCell ref="N8:T8"/>
    <mergeCell ref="D9:D11"/>
    <mergeCell ref="A6:T6"/>
    <mergeCell ref="M1:T1"/>
    <mergeCell ref="M2:T2"/>
    <mergeCell ref="M3:T3"/>
    <mergeCell ref="A4:T4"/>
    <mergeCell ref="A5:T5"/>
  </mergeCells>
  <pageMargins left="1.299212598425197" right="0.70866141732283472" top="0.15748031496062992" bottom="0.15748031496062992" header="0.11811023622047245" footer="0.31496062992125984"/>
  <pageSetup paperSize="9" scale="55" orientation="landscape" r:id="rId1"/>
  <headerFooter differentFirst="1"/>
  <rowBreaks count="1" manualBreakCount="1">
    <brk id="32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72"/>
  <sheetViews>
    <sheetView topLeftCell="A7" workbookViewId="0">
      <pane xSplit="2" ySplit="5" topLeftCell="C12" activePane="bottomRight" state="frozen"/>
      <selection activeCell="A7" sqref="A7"/>
      <selection pane="topRight" activeCell="C7" sqref="C7"/>
      <selection pane="bottomLeft" activeCell="A12" sqref="A12"/>
      <selection pane="bottomRight" activeCell="B6" sqref="B6:BD6"/>
    </sheetView>
  </sheetViews>
  <sheetFormatPr defaultRowHeight="15" outlineLevelCol="1" x14ac:dyDescent="0.25"/>
  <cols>
    <col min="1" max="1" width="6.85546875" style="228" customWidth="1"/>
    <col min="2" max="2" width="57.42578125" style="228" customWidth="1"/>
    <col min="3" max="3" width="14" style="228" customWidth="1"/>
    <col min="4" max="4" width="13.140625" style="228" customWidth="1"/>
    <col min="5" max="5" width="11.5703125" style="228" customWidth="1"/>
    <col min="6" max="6" width="10.85546875" style="228" customWidth="1"/>
    <col min="7" max="7" width="15.85546875" style="228" customWidth="1"/>
    <col min="8" max="8" width="13.140625" style="228" customWidth="1"/>
    <col min="9" max="10" width="9.42578125" style="228" customWidth="1"/>
    <col min="11" max="12" width="9.5703125" style="228" customWidth="1"/>
    <col min="13" max="13" width="9.85546875" style="228" customWidth="1"/>
    <col min="14" max="14" width="9.5703125" style="228" customWidth="1"/>
    <col min="15" max="16" width="8.85546875" style="228" customWidth="1"/>
    <col min="17" max="17" width="13.140625" style="228" customWidth="1"/>
    <col min="18" max="18" width="9.5703125" style="228" customWidth="1"/>
    <col min="19" max="20" width="9.7109375" style="228" customWidth="1"/>
    <col min="21" max="21" width="9.42578125" style="228" customWidth="1"/>
    <col min="22" max="22" width="9.28515625" style="228" customWidth="1"/>
    <col min="23" max="24" width="9" style="228" customWidth="1"/>
    <col min="25" max="25" width="12.42578125" style="228" customWidth="1"/>
    <col min="26" max="28" width="7.140625" style="228" customWidth="1"/>
    <col min="29" max="29" width="10.28515625" style="228" customWidth="1"/>
    <col min="30" max="30" width="9.42578125" style="228" customWidth="1"/>
    <col min="31" max="32" width="9.85546875" style="228" customWidth="1"/>
    <col min="33" max="33" width="10.28515625" style="228" customWidth="1"/>
    <col min="34" max="35" width="7.140625" style="228" customWidth="1"/>
    <col min="36" max="36" width="10.28515625" style="228" customWidth="1"/>
    <col min="37" max="38" width="7.140625" style="228" customWidth="1"/>
    <col min="39" max="39" width="10.28515625" style="228" customWidth="1"/>
    <col min="40" max="40" width="7.140625" style="228" customWidth="1"/>
    <col min="41" max="41" width="10" style="228" customWidth="1"/>
    <col min="42" max="42" width="10.28515625" style="228" customWidth="1"/>
    <col min="43" max="43" width="7.140625" style="228" customWidth="1"/>
    <col min="44" max="44" width="9.7109375" style="228" customWidth="1"/>
    <col min="45" max="45" width="13.28515625" style="228" hidden="1" customWidth="1" outlineLevel="1"/>
    <col min="46" max="55" width="6.85546875" style="228" hidden="1" customWidth="1" outlineLevel="1"/>
    <col min="56" max="57" width="8" style="228" hidden="1" customWidth="1" outlineLevel="1"/>
    <col min="58" max="64" width="9.140625" style="228" hidden="1" customWidth="1" outlineLevel="1"/>
    <col min="65" max="65" width="9.140625" style="228" collapsed="1"/>
    <col min="66" max="16384" width="9.140625" style="228"/>
  </cols>
  <sheetData>
    <row r="1" spans="1:68" ht="30" customHeight="1" x14ac:dyDescent="0.25">
      <c r="A1" s="228" t="s">
        <v>412</v>
      </c>
      <c r="AW1" s="651" t="s">
        <v>411</v>
      </c>
      <c r="AX1" s="651"/>
      <c r="AY1" s="651"/>
      <c r="AZ1" s="651"/>
      <c r="BA1" s="651"/>
      <c r="BB1" s="651"/>
      <c r="BC1" s="651"/>
      <c r="BD1" s="651"/>
    </row>
    <row r="2" spans="1:68" ht="15" customHeight="1" x14ac:dyDescent="0.25">
      <c r="AW2" s="651" t="s">
        <v>162</v>
      </c>
      <c r="AX2" s="651"/>
      <c r="AY2" s="651"/>
      <c r="AZ2" s="651"/>
      <c r="BA2" s="651"/>
      <c r="BB2" s="651"/>
      <c r="BC2" s="651"/>
      <c r="BD2" s="651"/>
    </row>
    <row r="3" spans="1:68" ht="15" customHeight="1" x14ac:dyDescent="0.25">
      <c r="AW3" s="651" t="s">
        <v>163</v>
      </c>
      <c r="AX3" s="651"/>
      <c r="AY3" s="651"/>
      <c r="AZ3" s="651"/>
      <c r="BA3" s="651"/>
      <c r="BB3" s="651"/>
      <c r="BC3" s="651"/>
      <c r="BD3" s="651"/>
    </row>
    <row r="4" spans="1:68" ht="15" customHeight="1" x14ac:dyDescent="0.25">
      <c r="AW4" s="651" t="s">
        <v>164</v>
      </c>
      <c r="AX4" s="651"/>
      <c r="AY4" s="651"/>
      <c r="AZ4" s="651"/>
      <c r="BA4" s="651"/>
      <c r="BB4" s="651"/>
      <c r="BC4" s="651"/>
      <c r="BD4" s="651"/>
    </row>
    <row r="5" spans="1:68" ht="15" customHeight="1" x14ac:dyDescent="0.25">
      <c r="AW5" s="651" t="s">
        <v>165</v>
      </c>
      <c r="AX5" s="651"/>
      <c r="AY5" s="651"/>
      <c r="AZ5" s="651"/>
      <c r="BA5" s="651"/>
      <c r="BB5" s="651"/>
      <c r="BC5" s="651"/>
      <c r="BD5" s="651"/>
    </row>
    <row r="6" spans="1:68" ht="18.75" x14ac:dyDescent="0.3">
      <c r="B6" s="678" t="s">
        <v>111</v>
      </c>
      <c r="C6" s="678"/>
      <c r="D6" s="678"/>
      <c r="E6" s="678"/>
      <c r="F6" s="678"/>
      <c r="G6" s="678"/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8"/>
      <c r="AA6" s="678"/>
      <c r="AB6" s="678"/>
      <c r="AC6" s="678"/>
      <c r="AD6" s="678"/>
      <c r="AE6" s="678"/>
      <c r="AF6" s="678"/>
      <c r="AG6" s="678"/>
      <c r="AH6" s="678"/>
      <c r="AI6" s="678"/>
      <c r="AJ6" s="678"/>
      <c r="AK6" s="678"/>
      <c r="AL6" s="678"/>
      <c r="AM6" s="678"/>
      <c r="AN6" s="678"/>
      <c r="AO6" s="678"/>
      <c r="AP6" s="678"/>
      <c r="AQ6" s="678"/>
      <c r="AR6" s="678"/>
      <c r="AS6" s="678"/>
      <c r="AT6" s="678"/>
      <c r="AU6" s="678"/>
      <c r="AV6" s="678"/>
      <c r="AW6" s="678"/>
      <c r="AX6" s="678"/>
      <c r="AY6" s="678"/>
      <c r="AZ6" s="678"/>
      <c r="BA6" s="678"/>
      <c r="BB6" s="678"/>
      <c r="BC6" s="678"/>
      <c r="BD6" s="678"/>
      <c r="BF6" s="228" t="s">
        <v>115</v>
      </c>
    </row>
    <row r="7" spans="1:68" ht="18.75" x14ac:dyDescent="0.25">
      <c r="B7" s="642" t="s">
        <v>369</v>
      </c>
      <c r="C7" s="642"/>
      <c r="D7" s="642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2"/>
      <c r="Q7" s="642"/>
      <c r="R7" s="642"/>
      <c r="S7" s="642"/>
      <c r="T7" s="642"/>
      <c r="U7" s="642"/>
      <c r="V7" s="642"/>
      <c r="W7" s="642"/>
      <c r="X7" s="642"/>
      <c r="Y7" s="642"/>
      <c r="Z7" s="642"/>
      <c r="AA7" s="642"/>
      <c r="AB7" s="642"/>
      <c r="AC7" s="642"/>
      <c r="AD7" s="642"/>
      <c r="AE7" s="642"/>
      <c r="AF7" s="642"/>
      <c r="AG7" s="642"/>
      <c r="AH7" s="642"/>
      <c r="AI7" s="642"/>
      <c r="AJ7" s="642"/>
      <c r="AK7" s="642"/>
      <c r="AL7" s="642"/>
      <c r="AM7" s="642"/>
      <c r="AN7" s="642"/>
      <c r="AO7" s="642"/>
      <c r="AP7" s="642"/>
      <c r="AQ7" s="642"/>
      <c r="AR7" s="642"/>
      <c r="AS7" s="642"/>
      <c r="AT7" s="642"/>
      <c r="AU7" s="642"/>
      <c r="AV7" s="642"/>
      <c r="AW7" s="642"/>
      <c r="AX7" s="642"/>
      <c r="AY7" s="642"/>
      <c r="AZ7" s="642"/>
      <c r="BA7" s="642"/>
      <c r="BB7" s="642"/>
      <c r="BC7" s="642"/>
      <c r="BD7" s="642"/>
    </row>
    <row r="8" spans="1:68" x14ac:dyDescent="0.25">
      <c r="B8" s="679" t="s">
        <v>179</v>
      </c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79"/>
      <c r="X8" s="679"/>
      <c r="Y8" s="679"/>
      <c r="Z8" s="679"/>
      <c r="AA8" s="679"/>
      <c r="AB8" s="679"/>
      <c r="AC8" s="679"/>
      <c r="AD8" s="679"/>
      <c r="AE8" s="679"/>
      <c r="AF8" s="679"/>
      <c r="AG8" s="679"/>
      <c r="AH8" s="679"/>
      <c r="AI8" s="679"/>
      <c r="AJ8" s="679"/>
      <c r="AK8" s="679"/>
      <c r="AL8" s="679"/>
      <c r="AM8" s="679"/>
      <c r="AN8" s="679"/>
      <c r="AO8" s="679"/>
      <c r="AP8" s="679"/>
      <c r="AQ8" s="679"/>
      <c r="AR8" s="679"/>
      <c r="AS8" s="679"/>
      <c r="AT8" s="679"/>
      <c r="AU8" s="679"/>
      <c r="AV8" s="679"/>
      <c r="AW8" s="679"/>
      <c r="AX8" s="679"/>
      <c r="AY8" s="679"/>
      <c r="AZ8" s="679"/>
      <c r="BA8" s="679"/>
      <c r="BB8" s="679"/>
      <c r="BC8" s="679"/>
      <c r="BD8" s="679"/>
      <c r="BF8" s="228">
        <v>2018</v>
      </c>
      <c r="BG8" s="228">
        <v>2020</v>
      </c>
      <c r="BH8" s="228">
        <v>2021</v>
      </c>
      <c r="BI8" s="228">
        <v>2022</v>
      </c>
      <c r="BJ8" s="228">
        <v>2023</v>
      </c>
      <c r="BK8" s="228">
        <v>2024</v>
      </c>
      <c r="BL8" s="228">
        <v>2025</v>
      </c>
    </row>
    <row r="9" spans="1:68" ht="15" customHeight="1" x14ac:dyDescent="0.25">
      <c r="A9" s="659" t="s">
        <v>108</v>
      </c>
      <c r="B9" s="659" t="s">
        <v>354</v>
      </c>
      <c r="C9" s="667" t="s">
        <v>116</v>
      </c>
      <c r="D9" s="666" t="s">
        <v>441</v>
      </c>
      <c r="E9" s="669" t="s">
        <v>400</v>
      </c>
      <c r="F9" s="670"/>
      <c r="G9" s="670"/>
      <c r="H9" s="670"/>
      <c r="I9" s="670"/>
      <c r="J9" s="670"/>
      <c r="K9" s="670"/>
      <c r="L9" s="670"/>
      <c r="M9" s="670"/>
      <c r="N9" s="670"/>
      <c r="O9" s="670"/>
      <c r="P9" s="670"/>
      <c r="Q9" s="670"/>
      <c r="R9" s="670"/>
      <c r="S9" s="670"/>
      <c r="T9" s="670"/>
      <c r="U9" s="670"/>
      <c r="V9" s="670"/>
      <c r="W9" s="670"/>
      <c r="X9" s="670"/>
      <c r="Y9" s="670"/>
      <c r="Z9" s="670"/>
      <c r="AA9" s="671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675" t="s">
        <v>119</v>
      </c>
      <c r="AT9" s="669" t="s">
        <v>400</v>
      </c>
      <c r="AU9" s="670"/>
      <c r="AV9" s="670"/>
      <c r="AW9" s="670"/>
      <c r="AX9" s="670"/>
      <c r="AY9" s="670"/>
      <c r="AZ9" s="670"/>
      <c r="BA9" s="670"/>
      <c r="BB9" s="670"/>
      <c r="BC9" s="670"/>
      <c r="BD9" s="671"/>
      <c r="BE9" s="251"/>
    </row>
    <row r="10" spans="1:68" ht="15" customHeight="1" x14ac:dyDescent="0.25">
      <c r="A10" s="659"/>
      <c r="B10" s="659"/>
      <c r="C10" s="667"/>
      <c r="D10" s="666"/>
      <c r="E10" s="656" t="s">
        <v>371</v>
      </c>
      <c r="F10" s="657"/>
      <c r="G10" s="658"/>
      <c r="H10" s="348"/>
      <c r="I10" s="656" t="s">
        <v>372</v>
      </c>
      <c r="J10" s="657"/>
      <c r="K10" s="658"/>
      <c r="L10" s="348"/>
      <c r="M10" s="656" t="s">
        <v>373</v>
      </c>
      <c r="N10" s="657"/>
      <c r="O10" s="658"/>
      <c r="P10" s="348"/>
      <c r="Q10" s="656" t="s">
        <v>374</v>
      </c>
      <c r="R10" s="657"/>
      <c r="S10" s="658"/>
      <c r="T10" s="348"/>
      <c r="U10" s="656" t="s">
        <v>375</v>
      </c>
      <c r="V10" s="657"/>
      <c r="W10" s="658"/>
      <c r="X10" s="348"/>
      <c r="Y10" s="656" t="s">
        <v>376</v>
      </c>
      <c r="Z10" s="657"/>
      <c r="AA10" s="658"/>
      <c r="AB10" s="348"/>
      <c r="AC10" s="656" t="s">
        <v>443</v>
      </c>
      <c r="AD10" s="657"/>
      <c r="AE10" s="658"/>
      <c r="AF10" s="348"/>
      <c r="AG10" s="656" t="s">
        <v>377</v>
      </c>
      <c r="AH10" s="657"/>
      <c r="AI10" s="658"/>
      <c r="AJ10" s="656" t="s">
        <v>378</v>
      </c>
      <c r="AK10" s="657"/>
      <c r="AL10" s="658"/>
      <c r="AM10" s="656" t="s">
        <v>379</v>
      </c>
      <c r="AN10" s="657"/>
      <c r="AO10" s="658"/>
      <c r="AP10" s="656" t="s">
        <v>380</v>
      </c>
      <c r="AQ10" s="657"/>
      <c r="AR10" s="658"/>
      <c r="AS10" s="676"/>
      <c r="AT10" s="297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51"/>
    </row>
    <row r="11" spans="1:68" ht="72" customHeight="1" x14ac:dyDescent="0.25">
      <c r="A11" s="659"/>
      <c r="B11" s="659"/>
      <c r="C11" s="667"/>
      <c r="D11" s="666"/>
      <c r="E11" s="343" t="s">
        <v>440</v>
      </c>
      <c r="F11" s="240" t="s">
        <v>442</v>
      </c>
      <c r="G11" s="240" t="s">
        <v>119</v>
      </c>
      <c r="H11" s="369" t="s">
        <v>456</v>
      </c>
      <c r="I11" s="343" t="s">
        <v>440</v>
      </c>
      <c r="J11" s="240" t="s">
        <v>442</v>
      </c>
      <c r="K11" s="240" t="s">
        <v>119</v>
      </c>
      <c r="L11" s="369" t="s">
        <v>457</v>
      </c>
      <c r="M11" s="343" t="s">
        <v>440</v>
      </c>
      <c r="N11" s="240" t="s">
        <v>442</v>
      </c>
      <c r="O11" s="240" t="s">
        <v>119</v>
      </c>
      <c r="P11" s="369" t="s">
        <v>458</v>
      </c>
      <c r="Q11" s="343" t="s">
        <v>440</v>
      </c>
      <c r="R11" s="240" t="s">
        <v>442</v>
      </c>
      <c r="S11" s="240" t="s">
        <v>119</v>
      </c>
      <c r="T11" s="369" t="s">
        <v>459</v>
      </c>
      <c r="U11" s="343" t="s">
        <v>440</v>
      </c>
      <c r="V11" s="240" t="s">
        <v>442</v>
      </c>
      <c r="W11" s="240" t="s">
        <v>119</v>
      </c>
      <c r="X11" s="369" t="s">
        <v>460</v>
      </c>
      <c r="Y11" s="343" t="s">
        <v>440</v>
      </c>
      <c r="Z11" s="240" t="s">
        <v>442</v>
      </c>
      <c r="AA11" s="240" t="s">
        <v>119</v>
      </c>
      <c r="AB11" s="369" t="s">
        <v>461</v>
      </c>
      <c r="AC11" s="343" t="s">
        <v>440</v>
      </c>
      <c r="AD11" s="240" t="s">
        <v>442</v>
      </c>
      <c r="AE11" s="240" t="s">
        <v>119</v>
      </c>
      <c r="AF11" s="370" t="s">
        <v>462</v>
      </c>
      <c r="AG11" s="343" t="s">
        <v>440</v>
      </c>
      <c r="AH11" s="240" t="s">
        <v>442</v>
      </c>
      <c r="AI11" s="240" t="s">
        <v>119</v>
      </c>
      <c r="AJ11" s="343" t="s">
        <v>440</v>
      </c>
      <c r="AK11" s="240" t="s">
        <v>442</v>
      </c>
      <c r="AL11" s="240" t="s">
        <v>119</v>
      </c>
      <c r="AM11" s="343" t="s">
        <v>440</v>
      </c>
      <c r="AN11" s="240" t="s">
        <v>442</v>
      </c>
      <c r="AO11" s="240" t="s">
        <v>119</v>
      </c>
      <c r="AP11" s="343" t="s">
        <v>440</v>
      </c>
      <c r="AQ11" s="240" t="s">
        <v>442</v>
      </c>
      <c r="AR11" s="240" t="s">
        <v>119</v>
      </c>
      <c r="AS11" s="677"/>
      <c r="AT11" s="240" t="s">
        <v>371</v>
      </c>
      <c r="AU11" s="240" t="s">
        <v>372</v>
      </c>
      <c r="AV11" s="240" t="s">
        <v>373</v>
      </c>
      <c r="AW11" s="240" t="s">
        <v>374</v>
      </c>
      <c r="AX11" s="240" t="s">
        <v>375</v>
      </c>
      <c r="AY11" s="240" t="s">
        <v>376</v>
      </c>
      <c r="AZ11" s="240"/>
      <c r="BA11" s="240" t="s">
        <v>377</v>
      </c>
      <c r="BB11" s="240" t="s">
        <v>378</v>
      </c>
      <c r="BC11" s="240" t="s">
        <v>379</v>
      </c>
      <c r="BD11" s="240" t="s">
        <v>380</v>
      </c>
      <c r="BE11" s="252"/>
    </row>
    <row r="12" spans="1:68" x14ac:dyDescent="0.25">
      <c r="A12" s="242">
        <v>1</v>
      </c>
      <c r="B12" s="242">
        <v>2</v>
      </c>
      <c r="C12" s="242">
        <v>3</v>
      </c>
      <c r="D12" s="243">
        <v>4</v>
      </c>
      <c r="E12" s="340"/>
      <c r="F12" s="245" t="s">
        <v>394</v>
      </c>
      <c r="G12" s="245"/>
      <c r="H12" s="245"/>
      <c r="I12" s="245"/>
      <c r="J12" s="245" t="s">
        <v>395</v>
      </c>
      <c r="K12" s="245"/>
      <c r="L12" s="245"/>
      <c r="M12" s="245"/>
      <c r="N12" s="245" t="s">
        <v>396</v>
      </c>
      <c r="O12" s="245"/>
      <c r="P12" s="245"/>
      <c r="Q12" s="245"/>
      <c r="R12" s="245" t="s">
        <v>397</v>
      </c>
      <c r="S12" s="245"/>
      <c r="T12" s="245"/>
      <c r="U12" s="245"/>
      <c r="V12" s="245" t="s">
        <v>398</v>
      </c>
      <c r="W12" s="245"/>
      <c r="X12" s="245"/>
      <c r="Y12" s="245"/>
      <c r="Z12" s="245" t="s">
        <v>399</v>
      </c>
      <c r="AA12" s="245"/>
      <c r="AB12" s="245"/>
      <c r="AC12" s="245"/>
      <c r="AD12" s="245" t="s">
        <v>399</v>
      </c>
      <c r="AE12" s="245"/>
      <c r="AF12" s="245"/>
      <c r="AG12" s="245"/>
      <c r="AH12" s="245" t="s">
        <v>399</v>
      </c>
      <c r="AI12" s="245"/>
      <c r="AJ12" s="245"/>
      <c r="AK12" s="245" t="s">
        <v>399</v>
      </c>
      <c r="AL12" s="245"/>
      <c r="AM12" s="245"/>
      <c r="AN12" s="245" t="s">
        <v>399</v>
      </c>
      <c r="AO12" s="245"/>
      <c r="AP12" s="245"/>
      <c r="AQ12" s="245" t="s">
        <v>399</v>
      </c>
      <c r="AR12" s="245"/>
      <c r="AS12" s="243">
        <v>6</v>
      </c>
      <c r="AT12" s="245" t="s">
        <v>401</v>
      </c>
      <c r="AU12" s="245" t="s">
        <v>402</v>
      </c>
      <c r="AV12" s="245" t="s">
        <v>403</v>
      </c>
      <c r="AW12" s="245" t="s">
        <v>404</v>
      </c>
      <c r="AX12" s="245" t="s">
        <v>405</v>
      </c>
      <c r="AY12" s="245" t="s">
        <v>406</v>
      </c>
      <c r="AZ12" s="245"/>
      <c r="BA12" s="245" t="s">
        <v>407</v>
      </c>
      <c r="BB12" s="245" t="s">
        <v>408</v>
      </c>
      <c r="BC12" s="245" t="s">
        <v>409</v>
      </c>
      <c r="BD12" s="245" t="s">
        <v>410</v>
      </c>
      <c r="BE12" s="253"/>
      <c r="BF12" s="244">
        <v>14</v>
      </c>
      <c r="BG12" s="244">
        <v>15</v>
      </c>
      <c r="BH12" s="244">
        <v>16</v>
      </c>
      <c r="BI12" s="244">
        <v>17</v>
      </c>
      <c r="BJ12" s="244">
        <v>18</v>
      </c>
      <c r="BK12" s="244">
        <v>19</v>
      </c>
      <c r="BL12" s="244">
        <v>20</v>
      </c>
      <c r="BM12" s="244"/>
      <c r="BN12" s="244"/>
    </row>
    <row r="13" spans="1:68" x14ac:dyDescent="0.25">
      <c r="A13" s="233" t="s">
        <v>232</v>
      </c>
      <c r="B13" s="672" t="s">
        <v>125</v>
      </c>
      <c r="C13" s="673"/>
      <c r="D13" s="673"/>
      <c r="E13" s="673"/>
      <c r="F13" s="673"/>
      <c r="G13" s="673"/>
      <c r="H13" s="673"/>
      <c r="I13" s="673"/>
      <c r="J13" s="673"/>
      <c r="K13" s="673"/>
      <c r="L13" s="673"/>
      <c r="M13" s="673"/>
      <c r="N13" s="673"/>
      <c r="O13" s="673"/>
      <c r="P13" s="673"/>
      <c r="Q13" s="673"/>
      <c r="R13" s="673"/>
      <c r="S13" s="673"/>
      <c r="T13" s="673"/>
      <c r="U13" s="673"/>
      <c r="V13" s="673"/>
      <c r="W13" s="673"/>
      <c r="X13" s="673"/>
      <c r="Y13" s="673"/>
      <c r="Z13" s="673"/>
      <c r="AA13" s="673"/>
      <c r="AB13" s="673"/>
      <c r="AC13" s="673"/>
      <c r="AD13" s="673"/>
      <c r="AE13" s="673"/>
      <c r="AF13" s="673"/>
      <c r="AG13" s="673"/>
      <c r="AH13" s="673"/>
      <c r="AI13" s="673"/>
      <c r="AJ13" s="673"/>
      <c r="AK13" s="673"/>
      <c r="AL13" s="673"/>
      <c r="AM13" s="673"/>
      <c r="AN13" s="673"/>
      <c r="AO13" s="673"/>
      <c r="AP13" s="673"/>
      <c r="AQ13" s="673"/>
      <c r="AR13" s="673"/>
      <c r="AS13" s="673"/>
      <c r="AT13" s="673"/>
      <c r="AU13" s="673"/>
      <c r="AV13" s="673"/>
      <c r="AW13" s="673"/>
      <c r="AX13" s="673"/>
      <c r="AY13" s="673"/>
      <c r="AZ13" s="673"/>
      <c r="BA13" s="673"/>
      <c r="BB13" s="673"/>
      <c r="BC13" s="673"/>
      <c r="BD13" s="674"/>
      <c r="BE13" s="254"/>
    </row>
    <row r="14" spans="1:68" x14ac:dyDescent="0.25">
      <c r="A14" s="229"/>
      <c r="B14" s="661" t="s">
        <v>370</v>
      </c>
      <c r="C14" s="662"/>
      <c r="D14" s="662"/>
      <c r="E14" s="662"/>
      <c r="F14" s="662"/>
      <c r="G14" s="662"/>
      <c r="H14" s="662"/>
      <c r="I14" s="662"/>
      <c r="J14" s="662"/>
      <c r="K14" s="662"/>
      <c r="L14" s="662"/>
      <c r="M14" s="662"/>
      <c r="N14" s="662"/>
      <c r="O14" s="662"/>
      <c r="P14" s="662"/>
      <c r="Q14" s="662"/>
      <c r="R14" s="662"/>
      <c r="S14" s="662"/>
      <c r="T14" s="662"/>
      <c r="U14" s="662"/>
      <c r="V14" s="662"/>
      <c r="W14" s="662"/>
      <c r="X14" s="662"/>
      <c r="Y14" s="662"/>
      <c r="Z14" s="662"/>
      <c r="AA14" s="662"/>
      <c r="AB14" s="662"/>
      <c r="AC14" s="662"/>
      <c r="AD14" s="662"/>
      <c r="AE14" s="662"/>
      <c r="AF14" s="662"/>
      <c r="AG14" s="662"/>
      <c r="AH14" s="662"/>
      <c r="AI14" s="662"/>
      <c r="AJ14" s="662"/>
      <c r="AK14" s="662"/>
      <c r="AL14" s="662"/>
      <c r="AM14" s="662"/>
      <c r="AN14" s="662"/>
      <c r="AO14" s="662"/>
      <c r="AP14" s="662"/>
      <c r="AQ14" s="662"/>
      <c r="AR14" s="662"/>
      <c r="AS14" s="662"/>
      <c r="AT14" s="662"/>
      <c r="AU14" s="662"/>
      <c r="AV14" s="662"/>
      <c r="AW14" s="662"/>
      <c r="AX14" s="662"/>
      <c r="AY14" s="662"/>
      <c r="AZ14" s="662"/>
      <c r="BA14" s="662"/>
      <c r="BB14" s="662"/>
      <c r="BC14" s="662"/>
      <c r="BD14" s="663"/>
      <c r="BE14" s="255"/>
    </row>
    <row r="15" spans="1:68" ht="29.25" customHeight="1" x14ac:dyDescent="0.25">
      <c r="A15" s="233" t="s">
        <v>127</v>
      </c>
      <c r="B15" s="241" t="s">
        <v>128</v>
      </c>
      <c r="C15" s="229"/>
      <c r="D15" s="231"/>
      <c r="E15" s="249"/>
      <c r="F15" s="229"/>
      <c r="G15" s="229"/>
      <c r="H15" s="229"/>
      <c r="I15" s="249"/>
      <c r="J15" s="229"/>
      <c r="K15" s="229"/>
      <c r="L15" s="229"/>
      <c r="M15" s="249"/>
      <c r="N15" s="229"/>
      <c r="O15" s="229"/>
      <c r="P15" s="229"/>
      <c r="Q15" s="249"/>
      <c r="R15" s="229"/>
      <c r="S15" s="229"/>
      <c r="T15" s="229"/>
      <c r="U15" s="249"/>
      <c r="V15" s="229"/>
      <c r="W15" s="229"/>
      <c r="X15" s="229"/>
      <c r="Y15" s="249"/>
      <c r="Z15" s="250"/>
      <c r="AA15" s="342"/>
      <c r="AB15" s="342"/>
      <c r="AC15" s="249"/>
      <c r="AD15" s="250"/>
      <c r="AE15" s="342"/>
      <c r="AF15" s="342"/>
      <c r="AG15" s="249"/>
      <c r="AH15" s="250"/>
      <c r="AI15" s="342"/>
      <c r="AJ15" s="249"/>
      <c r="AK15" s="250"/>
      <c r="AL15" s="342"/>
      <c r="AM15" s="249"/>
      <c r="AN15" s="250"/>
      <c r="AO15" s="342"/>
      <c r="AP15" s="249"/>
      <c r="AQ15" s="250"/>
      <c r="AR15" s="342"/>
      <c r="AS15" s="232"/>
      <c r="AT15" s="233"/>
      <c r="AU15" s="233"/>
      <c r="AV15" s="233"/>
      <c r="AW15" s="233"/>
      <c r="AX15" s="233"/>
      <c r="AY15" s="233"/>
      <c r="AZ15" s="233"/>
      <c r="BA15" s="233"/>
      <c r="BB15" s="233"/>
      <c r="BC15" s="229"/>
      <c r="BD15" s="229"/>
      <c r="BE15" s="256"/>
    </row>
    <row r="16" spans="1:68" ht="30" x14ac:dyDescent="0.25">
      <c r="A16" s="229" t="s">
        <v>129</v>
      </c>
      <c r="B16" s="246" t="s">
        <v>130</v>
      </c>
      <c r="C16" s="234">
        <v>47421</v>
      </c>
      <c r="D16" s="235">
        <f>AD16+AH16+AK16+AN16+AQ16</f>
        <v>36039.889423418361</v>
      </c>
      <c r="E16" s="344">
        <f>' Фінплан освоєння '!N16+' Фінплан освоєння '!O16</f>
        <v>16611.847999999998</v>
      </c>
      <c r="F16" s="247">
        <f>E16/$E$31*$F$33</f>
        <v>906.35501017413128</v>
      </c>
      <c r="G16" s="247">
        <v>3848.466110092003</v>
      </c>
      <c r="H16" s="247">
        <f>E16-F16-G16</f>
        <v>11857.026879733865</v>
      </c>
      <c r="I16" s="344">
        <f>' Фінплан освоєння '!P16</f>
        <v>5200.6139999999996</v>
      </c>
      <c r="J16" s="247">
        <f>I16/$I$31*$J$33</f>
        <v>1657.5480688552855</v>
      </c>
      <c r="K16" s="247">
        <v>1341.5958853417592</v>
      </c>
      <c r="L16" s="247">
        <f>I16-J16-K16</f>
        <v>2201.4700458029552</v>
      </c>
      <c r="M16" s="344">
        <f>' Фінплан освоєння '!Q16</f>
        <v>0</v>
      </c>
      <c r="N16" s="247">
        <f t="shared" ref="N16:N28" si="0">M16/$M$31*$N$33</f>
        <v>0</v>
      </c>
      <c r="O16" s="247"/>
      <c r="P16" s="247">
        <f>M16-N16-O16</f>
        <v>0</v>
      </c>
      <c r="Q16" s="344">
        <f>' Фінплан освоєння '!R16</f>
        <v>10491.998</v>
      </c>
      <c r="R16" s="247">
        <f>Q16/$Q$31*$R$31</f>
        <v>6594.3772626728432</v>
      </c>
      <c r="S16" s="247"/>
      <c r="T16" s="247">
        <f>Q16-R16</f>
        <v>3897.6207373271563</v>
      </c>
      <c r="U16" s="344">
        <f>' Фінплан освоєння '!S16</f>
        <v>9204.5110000000004</v>
      </c>
      <c r="V16" s="247">
        <f t="shared" ref="V16:V30" si="1">U16/$U$31*$V$33</f>
        <v>7388.4156836617558</v>
      </c>
      <c r="W16" s="247"/>
      <c r="X16" s="247">
        <f>U16-V16-W16</f>
        <v>1816.0953163382446</v>
      </c>
      <c r="Y16" s="344">
        <f>' Фінплан освоєння '!T16</f>
        <v>5912.4830000000002</v>
      </c>
      <c r="Z16" s="247">
        <f t="shared" ref="Z16:Z30" si="2">Y16/$Y$31*$Z$31</f>
        <v>5181.908675523644</v>
      </c>
      <c r="AA16" s="247">
        <f>Y16/$Y$31*$AA$31</f>
        <v>1009.5970566734842</v>
      </c>
      <c r="AB16" s="247">
        <f>Y16-Z16-AA16</f>
        <v>-279.02273219712799</v>
      </c>
      <c r="AC16" s="344">
        <f>E16+I16+M16+Q16+U16+Y16</f>
        <v>47421.453999999998</v>
      </c>
      <c r="AD16" s="247">
        <f>F16+J16+N16+R16+V16+Z16</f>
        <v>21728.604700887663</v>
      </c>
      <c r="AE16" s="247">
        <f>G16+K16+O16+S16+W16+AA16</f>
        <v>6199.6590521072458</v>
      </c>
      <c r="AF16" s="321">
        <f>H16+L16+P16+T16+X16+AB16</f>
        <v>19493.190247005092</v>
      </c>
      <c r="AG16" s="344">
        <f>' Фінплан освоєння '!W16</f>
        <v>0</v>
      </c>
      <c r="AH16" s="247">
        <f t="shared" ref="AH16:AH22" si="3">$AH$31*G45</f>
        <v>3649.7446645586497</v>
      </c>
      <c r="AI16" s="247">
        <f>$AI$31*G45</f>
        <v>1199.7668915423039</v>
      </c>
      <c r="AJ16" s="344">
        <f>' Фінплан освоєння '!Z16</f>
        <v>0</v>
      </c>
      <c r="AK16" s="247">
        <f t="shared" ref="AK16:AK22" si="4">$AK$31*G45</f>
        <v>3622.247993103907</v>
      </c>
      <c r="AL16" s="247">
        <f t="shared" ref="AL16:AL22" si="5">$AL$31*G45</f>
        <v>1227.2635629970462</v>
      </c>
      <c r="AM16" s="344">
        <f>' Фінплан освоєння '!AC16</f>
        <v>0</v>
      </c>
      <c r="AN16" s="247">
        <f t="shared" ref="AN16:AN22" si="6">$AN$31*G45</f>
        <v>3622.247993103907</v>
      </c>
      <c r="AO16" s="247">
        <f t="shared" ref="AO16:AO22" si="7">$AO$31*G45</f>
        <v>1227.2635629970462</v>
      </c>
      <c r="AP16" s="344">
        <f>' Фінплан освоєння '!AF16</f>
        <v>0</v>
      </c>
      <c r="AQ16" s="247">
        <f>$AQ$31*G45</f>
        <v>3417.0440717642346</v>
      </c>
      <c r="AR16" s="247">
        <f>$AR$31*G45</f>
        <v>1527.4550099345813</v>
      </c>
      <c r="AS16" s="235">
        <f t="shared" ref="AS16:AS30" si="8">G16+K16+O16+S16+W16+AA16</f>
        <v>6199.6590521072458</v>
      </c>
      <c r="AT16" s="248">
        <f t="shared" ref="AT16:AT30" si="9">E16/$E$31*$AT$33</f>
        <v>3848.3202675544026</v>
      </c>
      <c r="AU16" s="248">
        <f t="shared" ref="AU16:AU30" si="10">I16/$I$31*$AU$33</f>
        <v>1341.5038939179294</v>
      </c>
      <c r="AV16" s="248">
        <f t="shared" ref="AV16:AV30" si="11">M16/$M$31*$AV$33</f>
        <v>0</v>
      </c>
      <c r="AW16" s="248">
        <f t="shared" ref="AW16:AW30" si="12">Q16/$Q$31*$AW$33</f>
        <v>299.49827738641523</v>
      </c>
      <c r="AX16" s="248">
        <f t="shared" ref="AX16:AX30" si="13">U16/$U$31*$AX$33</f>
        <v>-0.22662162569258171</v>
      </c>
      <c r="AY16" s="248">
        <f t="shared" ref="AY16:AY30" si="14">Y16/$Y$31*$AY$33</f>
        <v>1976.0564833355779</v>
      </c>
      <c r="AZ16" s="248">
        <f>AT16+AU16+AV16+AW16+AX16+AY16</f>
        <v>7465.1523005686322</v>
      </c>
      <c r="BA16" s="248">
        <f t="shared" ref="BA16:BA22" si="15">AS16/$AS$31*$BA$33</f>
        <v>0</v>
      </c>
      <c r="BB16" s="248">
        <f t="shared" ref="BB16:BB22" si="16">AS16/$AS$31*$BB$33</f>
        <v>0</v>
      </c>
      <c r="BC16" s="248">
        <f t="shared" ref="BC16:BC22" si="17">AS16/$AS$31*$BC$33</f>
        <v>-0.13393726653089541</v>
      </c>
      <c r="BD16" s="248">
        <f t="shared" ref="BD16:BD22" si="18">AS16/$AS$31*$BD$33</f>
        <v>4366.5464165583508</v>
      </c>
      <c r="BE16" s="257" t="e">
        <f>SUM(AT16:BD16)+SUM(#REF!)-AS16</f>
        <v>#REF!</v>
      </c>
      <c r="BF16" s="238">
        <v>5906.616</v>
      </c>
      <c r="BG16" s="238">
        <v>10705.232</v>
      </c>
      <c r="BH16" s="238">
        <v>5200.6139999999996</v>
      </c>
      <c r="BI16" s="238"/>
      <c r="BJ16" s="238">
        <v>10491.998</v>
      </c>
      <c r="BK16" s="238">
        <v>9204.5110000000004</v>
      </c>
      <c r="BL16" s="238">
        <v>5912.4830000000002</v>
      </c>
      <c r="BM16" s="238">
        <f>AI16+AL16+AO16+AR16</f>
        <v>5181.749027470978</v>
      </c>
      <c r="BN16" s="238"/>
      <c r="BO16" s="238">
        <f>C16-AD16-AE16</f>
        <v>19492.73624700509</v>
      </c>
      <c r="BP16" s="238">
        <f t="shared" ref="BP16:BP29" si="19">C16-AD16-AE16-AH16-AI16-AK16-AL16-AN16-AO16-AQ16-AR16</f>
        <v>-0.29750299658576296</v>
      </c>
    </row>
    <row r="17" spans="1:68" x14ac:dyDescent="0.25">
      <c r="A17" s="229" t="s">
        <v>131</v>
      </c>
      <c r="B17" s="246" t="s">
        <v>132</v>
      </c>
      <c r="C17" s="234">
        <v>5820</v>
      </c>
      <c r="D17" s="235">
        <f t="shared" ref="D17:D26" si="20">AD17+AH17+AK17+AN17+AQ17</f>
        <v>3778.7440000277029</v>
      </c>
      <c r="E17" s="344">
        <v>2190.56</v>
      </c>
      <c r="F17" s="247">
        <f t="shared" ref="F17:F30" si="21">E17/$E$31*$F$33</f>
        <v>119.5186129253678</v>
      </c>
      <c r="G17" s="247">
        <v>507.486940774027</v>
      </c>
      <c r="H17" s="247">
        <f t="shared" ref="H17:H32" si="22">E17-F17-G17</f>
        <v>1563.5544463006049</v>
      </c>
      <c r="I17" s="344">
        <f>' Фінплан освоєння '!P17</f>
        <v>2795.8</v>
      </c>
      <c r="J17" s="247">
        <f t="shared" ref="J17:J30" si="23">I17/$I$31*$J$33</f>
        <v>891.08187819853731</v>
      </c>
      <c r="K17" s="247">
        <v>721.22902723380173</v>
      </c>
      <c r="L17" s="247">
        <f t="shared" ref="L17:L31" si="24">I17-J17-K17</f>
        <v>1183.4890945676611</v>
      </c>
      <c r="M17" s="344">
        <f>' Фінплан освоєння '!Q17</f>
        <v>0</v>
      </c>
      <c r="N17" s="247">
        <f t="shared" si="0"/>
        <v>0</v>
      </c>
      <c r="O17" s="247"/>
      <c r="P17" s="247">
        <f t="shared" ref="P17:P32" si="25">M17-N17-O17</f>
        <v>0</v>
      </c>
      <c r="Q17" s="344">
        <f>' Фінплан освоєння '!R17</f>
        <v>833.53599999999994</v>
      </c>
      <c r="R17" s="247">
        <f t="shared" ref="R17:R30" si="26">Q17/$Q$31*$R$31</f>
        <v>523.88981069375643</v>
      </c>
      <c r="S17" s="247"/>
      <c r="T17" s="247">
        <f t="shared" ref="T17:T31" si="27">Q17-R17</f>
        <v>309.64618930624351</v>
      </c>
      <c r="U17" s="344">
        <f>' Фінплан освоєння '!S17</f>
        <v>0</v>
      </c>
      <c r="V17" s="247">
        <f t="shared" si="1"/>
        <v>0</v>
      </c>
      <c r="W17" s="247"/>
      <c r="X17" s="247">
        <f t="shared" ref="X17:X32" si="28">U17-V17-W17</f>
        <v>0</v>
      </c>
      <c r="Y17" s="344">
        <f>' Фінплан освоєння '!T17</f>
        <v>0</v>
      </c>
      <c r="Z17" s="247">
        <f t="shared" si="2"/>
        <v>0</v>
      </c>
      <c r="AA17" s="247">
        <f t="shared" ref="AA17:AA30" si="29">Y17/$Y$31*$AA$31</f>
        <v>0</v>
      </c>
      <c r="AB17" s="247">
        <f t="shared" ref="AB17:AB33" si="30">Y17-Z17-AA17</f>
        <v>0</v>
      </c>
      <c r="AC17" s="344">
        <f t="shared" ref="AC17:AC31" si="31">E17+I17+M17+Q17+U17+Y17</f>
        <v>5819.8960000000006</v>
      </c>
      <c r="AD17" s="247">
        <f t="shared" ref="AD17:AD31" si="32">F17+J17+N17+R17+V17+Z17</f>
        <v>1534.4903018176615</v>
      </c>
      <c r="AE17" s="247">
        <f t="shared" ref="AE17:AE31" si="33">G17+K17+O17+S17+W17+AA17</f>
        <v>1228.7159680078287</v>
      </c>
      <c r="AF17" s="321">
        <f t="shared" ref="AF17:AF31" si="34">H17+L17+P17+T17+X17+AB17</f>
        <v>3056.6897301745094</v>
      </c>
      <c r="AG17" s="344">
        <f>' Фінплан освоєння '!W17</f>
        <v>0</v>
      </c>
      <c r="AH17" s="247">
        <f t="shared" si="3"/>
        <v>572.3422543653852</v>
      </c>
      <c r="AI17" s="247">
        <f t="shared" ref="AI17:AI22" si="35">$AI$31*G46</f>
        <v>188.14392526862156</v>
      </c>
      <c r="AJ17" s="344">
        <f>' Фінплан освоєння '!Z17</f>
        <v>0</v>
      </c>
      <c r="AK17" s="247">
        <f t="shared" si="4"/>
        <v>568.0303069897858</v>
      </c>
      <c r="AL17" s="247">
        <f t="shared" si="5"/>
        <v>192.45587264422096</v>
      </c>
      <c r="AM17" s="344">
        <f>' Фінплан освоєння '!AC17</f>
        <v>0</v>
      </c>
      <c r="AN17" s="247">
        <f t="shared" si="6"/>
        <v>568.0303069897858</v>
      </c>
      <c r="AO17" s="247">
        <f t="shared" si="7"/>
        <v>192.45587264422096</v>
      </c>
      <c r="AP17" s="344">
        <f>' Фінплан освоєння '!AF17</f>
        <v>0</v>
      </c>
      <c r="AQ17" s="247">
        <f t="shared" ref="AQ17:AQ22" si="36">$AQ$31*G46</f>
        <v>535.85082986508462</v>
      </c>
      <c r="AR17" s="247">
        <f t="shared" ref="AR17:AR22" si="37">$AR$31*G46</f>
        <v>239.53101495481667</v>
      </c>
      <c r="AS17" s="235">
        <f t="shared" si="8"/>
        <v>1228.7159680078287</v>
      </c>
      <c r="AT17" s="248">
        <f t="shared" si="9"/>
        <v>507.46770890836302</v>
      </c>
      <c r="AU17" s="248">
        <f t="shared" si="10"/>
        <v>721.17957353030761</v>
      </c>
      <c r="AV17" s="248">
        <f t="shared" si="11"/>
        <v>0</v>
      </c>
      <c r="AW17" s="248">
        <f t="shared" si="12"/>
        <v>23.793618349866538</v>
      </c>
      <c r="AX17" s="248">
        <f t="shared" si="13"/>
        <v>0</v>
      </c>
      <c r="AY17" s="248">
        <f t="shared" si="14"/>
        <v>0</v>
      </c>
      <c r="AZ17" s="248">
        <f t="shared" ref="AZ17:AZ33" si="38">AT17+AU17+AV17+AW17+AX17+AY17</f>
        <v>1252.4409007885372</v>
      </c>
      <c r="BA17" s="248">
        <f t="shared" si="15"/>
        <v>0</v>
      </c>
      <c r="BB17" s="248">
        <f t="shared" si="16"/>
        <v>0</v>
      </c>
      <c r="BC17" s="248">
        <f t="shared" si="17"/>
        <v>-2.6545146549937219E-2</v>
      </c>
      <c r="BD17" s="248">
        <f t="shared" si="18"/>
        <v>865.40973656430003</v>
      </c>
      <c r="BE17" s="257" t="e">
        <f>SUM(AT17:BD17)+SUM(#REF!)-AS17</f>
        <v>#REF!</v>
      </c>
      <c r="BF17" s="238"/>
      <c r="BG17" s="238">
        <v>2190.56</v>
      </c>
      <c r="BH17" s="238">
        <v>2795.8</v>
      </c>
      <c r="BI17" s="238"/>
      <c r="BJ17" s="238">
        <v>833.53599999999994</v>
      </c>
      <c r="BK17" s="238"/>
      <c r="BL17" s="238"/>
      <c r="BM17" s="238">
        <f t="shared" ref="BM17:BM33" si="39">AI17+AL17+AO17+AR17</f>
        <v>812.58668551188009</v>
      </c>
      <c r="BN17" s="238"/>
      <c r="BO17" s="238"/>
      <c r="BP17" s="238">
        <f t="shared" si="19"/>
        <v>-4.6653547410869578E-2</v>
      </c>
    </row>
    <row r="18" spans="1:68" x14ac:dyDescent="0.25">
      <c r="A18" s="229" t="s">
        <v>133</v>
      </c>
      <c r="B18" s="246" t="s">
        <v>134</v>
      </c>
      <c r="C18" s="234">
        <v>7813</v>
      </c>
      <c r="D18" s="235">
        <f t="shared" si="20"/>
        <v>4826.5150740874569</v>
      </c>
      <c r="E18" s="344">
        <v>1804.896</v>
      </c>
      <c r="F18" s="247">
        <f t="shared" si="21"/>
        <v>98.476492949083635</v>
      </c>
      <c r="G18" s="247">
        <v>418.14017851840543</v>
      </c>
      <c r="H18" s="247">
        <f t="shared" si="22"/>
        <v>1288.2793285325108</v>
      </c>
      <c r="I18" s="344">
        <f>' Фінплан освоєння '!P18</f>
        <v>6007.6790000000001</v>
      </c>
      <c r="J18" s="247">
        <f t="shared" si="23"/>
        <v>1914.7771253072144</v>
      </c>
      <c r="K18" s="247">
        <v>1549.7934334011513</v>
      </c>
      <c r="L18" s="247">
        <f t="shared" si="24"/>
        <v>2543.1084412916343</v>
      </c>
      <c r="M18" s="344">
        <f>' Фінплан освоєння '!Q18</f>
        <v>0</v>
      </c>
      <c r="N18" s="247">
        <f t="shared" si="0"/>
        <v>0</v>
      </c>
      <c r="O18" s="247"/>
      <c r="P18" s="247">
        <f t="shared" si="25"/>
        <v>0</v>
      </c>
      <c r="Q18" s="344">
        <f>' Фінплан освоєння '!R18</f>
        <v>0</v>
      </c>
      <c r="R18" s="247">
        <f t="shared" si="26"/>
        <v>0</v>
      </c>
      <c r="S18" s="247"/>
      <c r="T18" s="247">
        <f t="shared" si="27"/>
        <v>0</v>
      </c>
      <c r="U18" s="344">
        <f>' Фінплан освоєння '!S18</f>
        <v>0</v>
      </c>
      <c r="V18" s="247">
        <f t="shared" si="1"/>
        <v>0</v>
      </c>
      <c r="W18" s="247"/>
      <c r="X18" s="247">
        <f t="shared" si="28"/>
        <v>0</v>
      </c>
      <c r="Y18" s="344">
        <f>' Фінплан освоєння '!T18</f>
        <v>0</v>
      </c>
      <c r="Z18" s="247">
        <f t="shared" si="2"/>
        <v>0</v>
      </c>
      <c r="AA18" s="247">
        <f t="shared" si="29"/>
        <v>0</v>
      </c>
      <c r="AB18" s="247">
        <f t="shared" si="30"/>
        <v>0</v>
      </c>
      <c r="AC18" s="344">
        <f t="shared" si="31"/>
        <v>7812.5749999999998</v>
      </c>
      <c r="AD18" s="247">
        <f t="shared" si="32"/>
        <v>2013.2536182562981</v>
      </c>
      <c r="AE18" s="247">
        <f t="shared" si="33"/>
        <v>1967.9336119195568</v>
      </c>
      <c r="AF18" s="321">
        <f t="shared" si="34"/>
        <v>3831.3877698241449</v>
      </c>
      <c r="AG18" s="344">
        <f>' Фінплан освоєння '!W18</f>
        <v>0</v>
      </c>
      <c r="AH18" s="247">
        <f t="shared" si="3"/>
        <v>717.45382664796921</v>
      </c>
      <c r="AI18" s="247">
        <f t="shared" si="35"/>
        <v>235.84590883336645</v>
      </c>
      <c r="AJ18" s="344">
        <f>' Фінплан освоєння '!Z18</f>
        <v>0</v>
      </c>
      <c r="AK18" s="247">
        <f t="shared" si="4"/>
        <v>712.04862875923618</v>
      </c>
      <c r="AL18" s="247">
        <f t="shared" si="5"/>
        <v>241.25110672209945</v>
      </c>
      <c r="AM18" s="344">
        <f>' Фінплан освоєння '!AC18</f>
        <v>0</v>
      </c>
      <c r="AN18" s="247">
        <f t="shared" si="6"/>
        <v>712.04862875923618</v>
      </c>
      <c r="AO18" s="247">
        <f t="shared" si="7"/>
        <v>241.25110672209945</v>
      </c>
      <c r="AP18" s="344">
        <f>' Фінплан освоєння '!AF18</f>
        <v>0</v>
      </c>
      <c r="AQ18" s="247">
        <f t="shared" si="36"/>
        <v>671.71037166471683</v>
      </c>
      <c r="AR18" s="247">
        <f t="shared" si="37"/>
        <v>300.26167379648672</v>
      </c>
      <c r="AS18" s="235">
        <f t="shared" si="8"/>
        <v>1967.9336119195568</v>
      </c>
      <c r="AT18" s="248">
        <f t="shared" si="9"/>
        <v>418.1243325623899</v>
      </c>
      <c r="AU18" s="248">
        <f t="shared" si="10"/>
        <v>1549.6871661517223</v>
      </c>
      <c r="AV18" s="248">
        <f t="shared" si="11"/>
        <v>0</v>
      </c>
      <c r="AW18" s="248">
        <f t="shared" si="12"/>
        <v>0</v>
      </c>
      <c r="AX18" s="248">
        <f t="shared" si="13"/>
        <v>0</v>
      </c>
      <c r="AY18" s="248">
        <f t="shared" si="14"/>
        <v>0</v>
      </c>
      <c r="AZ18" s="248">
        <f t="shared" si="38"/>
        <v>1967.8114987141121</v>
      </c>
      <c r="BA18" s="248">
        <f t="shared" si="15"/>
        <v>0</v>
      </c>
      <c r="BB18" s="248">
        <f t="shared" si="16"/>
        <v>0</v>
      </c>
      <c r="BC18" s="248">
        <f t="shared" si="17"/>
        <v>-4.2515184541509175E-2</v>
      </c>
      <c r="BD18" s="248">
        <f t="shared" si="18"/>
        <v>1386.0558119290952</v>
      </c>
      <c r="BE18" s="257" t="e">
        <f>SUM(AT18:BD18)+SUM(#REF!)-AS18</f>
        <v>#REF!</v>
      </c>
      <c r="BF18" s="238"/>
      <c r="BG18" s="238">
        <v>1804.896</v>
      </c>
      <c r="BH18" s="238">
        <v>6007.6790000000001</v>
      </c>
      <c r="BI18" s="238"/>
      <c r="BJ18" s="238"/>
      <c r="BK18" s="238"/>
      <c r="BL18" s="238"/>
      <c r="BM18" s="238">
        <f t="shared" si="39"/>
        <v>1018.6097960740522</v>
      </c>
      <c r="BN18" s="238"/>
      <c r="BO18" s="238"/>
      <c r="BP18" s="238">
        <f t="shared" si="19"/>
        <v>-5.8482081065619695E-2</v>
      </c>
    </row>
    <row r="19" spans="1:68" ht="30" x14ac:dyDescent="0.25">
      <c r="A19" s="229" t="s">
        <v>135</v>
      </c>
      <c r="B19" s="246" t="s">
        <v>136</v>
      </c>
      <c r="C19" s="234">
        <v>1737</v>
      </c>
      <c r="D19" s="235">
        <f>AD19+AH19+AK19+AN19+AQ19</f>
        <v>1565.4786692529026</v>
      </c>
      <c r="E19" s="344"/>
      <c r="F19" s="247">
        <f t="shared" si="21"/>
        <v>0</v>
      </c>
      <c r="G19" s="247">
        <v>0</v>
      </c>
      <c r="H19" s="247">
        <f t="shared" si="22"/>
        <v>0</v>
      </c>
      <c r="I19" s="344">
        <f>' Фінплан освоєння '!P19</f>
        <v>0</v>
      </c>
      <c r="J19" s="247">
        <f t="shared" si="23"/>
        <v>0</v>
      </c>
      <c r="K19" s="247">
        <v>0</v>
      </c>
      <c r="L19" s="247">
        <f t="shared" si="24"/>
        <v>0</v>
      </c>
      <c r="M19" s="344">
        <f>' Фінплан освоєння '!Q19</f>
        <v>0</v>
      </c>
      <c r="N19" s="247">
        <f t="shared" si="0"/>
        <v>0</v>
      </c>
      <c r="O19" s="247"/>
      <c r="P19" s="247">
        <f t="shared" si="25"/>
        <v>0</v>
      </c>
      <c r="Q19" s="344">
        <f>' Фінплан освоєння '!R19</f>
        <v>1737.0039999999999</v>
      </c>
      <c r="R19" s="247">
        <f t="shared" si="26"/>
        <v>1091.7329266334</v>
      </c>
      <c r="S19" s="247"/>
      <c r="T19" s="247">
        <f t="shared" si="27"/>
        <v>645.27107336659992</v>
      </c>
      <c r="U19" s="344">
        <f>' Фінплан освоєння '!S19</f>
        <v>0</v>
      </c>
      <c r="V19" s="247">
        <f t="shared" si="1"/>
        <v>0</v>
      </c>
      <c r="W19" s="247"/>
      <c r="X19" s="247">
        <f t="shared" si="28"/>
        <v>0</v>
      </c>
      <c r="Y19" s="344">
        <f>' Фінплан освоєння '!T19</f>
        <v>0</v>
      </c>
      <c r="Z19" s="247">
        <f t="shared" si="2"/>
        <v>0</v>
      </c>
      <c r="AA19" s="247">
        <f t="shared" si="29"/>
        <v>0</v>
      </c>
      <c r="AB19" s="247">
        <f t="shared" si="30"/>
        <v>0</v>
      </c>
      <c r="AC19" s="344">
        <f t="shared" si="31"/>
        <v>1737.0039999999999</v>
      </c>
      <c r="AD19" s="247">
        <f t="shared" si="32"/>
        <v>1091.7329266334</v>
      </c>
      <c r="AE19" s="247">
        <f t="shared" si="33"/>
        <v>0</v>
      </c>
      <c r="AF19" s="321">
        <f t="shared" si="34"/>
        <v>645.27107336659992</v>
      </c>
      <c r="AG19" s="344">
        <f>' Фінплан освоєння '!W19</f>
        <v>0</v>
      </c>
      <c r="AH19" s="247">
        <f t="shared" si="3"/>
        <v>120.81731514717234</v>
      </c>
      <c r="AI19" s="247">
        <f t="shared" si="35"/>
        <v>39.715823423537614</v>
      </c>
      <c r="AJ19" s="344">
        <f>' Фінплан освоєння '!Z19</f>
        <v>0</v>
      </c>
      <c r="AK19" s="247">
        <f t="shared" si="4"/>
        <v>119.90709420681304</v>
      </c>
      <c r="AL19" s="247">
        <f t="shared" si="5"/>
        <v>40.626044363896902</v>
      </c>
      <c r="AM19" s="344">
        <f>' Фінплан освоєння '!AC19</f>
        <v>0</v>
      </c>
      <c r="AN19" s="247">
        <f t="shared" si="6"/>
        <v>119.90709420681304</v>
      </c>
      <c r="AO19" s="247">
        <f t="shared" si="7"/>
        <v>40.626044363896902</v>
      </c>
      <c r="AP19" s="344">
        <f>' Фінплан освоєння '!AF19</f>
        <v>0</v>
      </c>
      <c r="AQ19" s="247">
        <f t="shared" si="36"/>
        <v>113.11423905870399</v>
      </c>
      <c r="AR19" s="247">
        <f t="shared" si="37"/>
        <v>50.563266822587352</v>
      </c>
      <c r="AS19" s="235">
        <f t="shared" si="8"/>
        <v>0</v>
      </c>
      <c r="AT19" s="248">
        <f t="shared" si="9"/>
        <v>0</v>
      </c>
      <c r="AU19" s="248">
        <f t="shared" si="10"/>
        <v>0</v>
      </c>
      <c r="AV19" s="248">
        <f t="shared" si="11"/>
        <v>0</v>
      </c>
      <c r="AW19" s="248">
        <f t="shared" si="12"/>
        <v>49.583473597051082</v>
      </c>
      <c r="AX19" s="248">
        <f t="shared" si="13"/>
        <v>0</v>
      </c>
      <c r="AY19" s="248">
        <f t="shared" si="14"/>
        <v>0</v>
      </c>
      <c r="AZ19" s="248">
        <f t="shared" si="38"/>
        <v>49.583473597051082</v>
      </c>
      <c r="BA19" s="248">
        <f t="shared" si="15"/>
        <v>0</v>
      </c>
      <c r="BB19" s="248">
        <f t="shared" si="16"/>
        <v>0</v>
      </c>
      <c r="BC19" s="248">
        <f t="shared" si="17"/>
        <v>0</v>
      </c>
      <c r="BD19" s="248">
        <f t="shared" si="18"/>
        <v>0</v>
      </c>
      <c r="BE19" s="257" t="e">
        <f>SUM(AT19:BD19)+SUM(#REF!)-AS19</f>
        <v>#REF!</v>
      </c>
      <c r="BF19" s="238"/>
      <c r="BG19" s="238"/>
      <c r="BH19" s="238"/>
      <c r="BI19" s="238"/>
      <c r="BJ19" s="238">
        <v>1737.0039999999999</v>
      </c>
      <c r="BK19" s="238"/>
      <c r="BL19" s="238"/>
      <c r="BM19" s="238">
        <f t="shared" si="39"/>
        <v>171.53117897391877</v>
      </c>
      <c r="BN19" s="238"/>
      <c r="BO19" s="238"/>
      <c r="BP19" s="238">
        <f t="shared" si="19"/>
        <v>-9.8482268211768087E-3</v>
      </c>
    </row>
    <row r="20" spans="1:68" ht="30" x14ac:dyDescent="0.25">
      <c r="A20" s="229" t="s">
        <v>137</v>
      </c>
      <c r="B20" s="246" t="s">
        <v>138</v>
      </c>
      <c r="C20" s="234">
        <v>1928</v>
      </c>
      <c r="D20" s="235">
        <f t="shared" si="20"/>
        <v>1622.9157081862384</v>
      </c>
      <c r="E20" s="344"/>
      <c r="F20" s="247">
        <f t="shared" si="21"/>
        <v>0</v>
      </c>
      <c r="G20" s="247">
        <v>0</v>
      </c>
      <c r="H20" s="247">
        <f t="shared" si="22"/>
        <v>0</v>
      </c>
      <c r="I20" s="344">
        <f>' Фінплан освоєння '!P20</f>
        <v>0</v>
      </c>
      <c r="J20" s="247">
        <f t="shared" si="23"/>
        <v>0</v>
      </c>
      <c r="K20" s="247">
        <v>0</v>
      </c>
      <c r="L20" s="247">
        <f t="shared" si="24"/>
        <v>0</v>
      </c>
      <c r="M20" s="344">
        <f>' Фінплан освоєння '!Q20</f>
        <v>0</v>
      </c>
      <c r="N20" s="247">
        <f t="shared" si="0"/>
        <v>0</v>
      </c>
      <c r="O20" s="247"/>
      <c r="P20" s="247">
        <f t="shared" si="25"/>
        <v>0</v>
      </c>
      <c r="Q20" s="344">
        <f>' Фінплан освоєння '!R20</f>
        <v>0</v>
      </c>
      <c r="R20" s="247">
        <f t="shared" si="26"/>
        <v>0</v>
      </c>
      <c r="S20" s="247"/>
      <c r="T20" s="247">
        <f t="shared" si="27"/>
        <v>0</v>
      </c>
      <c r="U20" s="344">
        <f>' Фінплан освоєння '!S20</f>
        <v>0</v>
      </c>
      <c r="V20" s="247">
        <f t="shared" si="1"/>
        <v>0</v>
      </c>
      <c r="W20" s="247"/>
      <c r="X20" s="247">
        <f t="shared" si="28"/>
        <v>0</v>
      </c>
      <c r="Y20" s="344">
        <f>' Фінплан освоєння '!T20</f>
        <v>1927.53</v>
      </c>
      <c r="Z20" s="247">
        <f t="shared" si="2"/>
        <v>1689.3552893652445</v>
      </c>
      <c r="AA20" s="247">
        <f t="shared" si="29"/>
        <v>329.13897843762777</v>
      </c>
      <c r="AB20" s="247">
        <f t="shared" si="30"/>
        <v>-90.964267802872314</v>
      </c>
      <c r="AC20" s="344">
        <f t="shared" si="31"/>
        <v>1927.53</v>
      </c>
      <c r="AD20" s="247">
        <f t="shared" si="32"/>
        <v>1689.3552893652445</v>
      </c>
      <c r="AE20" s="247">
        <f t="shared" si="33"/>
        <v>329.13897843762777</v>
      </c>
      <c r="AF20" s="321">
        <f t="shared" si="34"/>
        <v>-90.964267802872314</v>
      </c>
      <c r="AG20" s="344">
        <f>' Фінплан освоєння '!W20</f>
        <v>0</v>
      </c>
      <c r="AH20" s="247">
        <f t="shared" si="3"/>
        <v>-16.943797263835645</v>
      </c>
      <c r="AI20" s="247">
        <f t="shared" si="35"/>
        <v>-5.5698710026372069</v>
      </c>
      <c r="AJ20" s="344">
        <f>' Фінплан освоєння '!Z20</f>
        <v>0</v>
      </c>
      <c r="AK20" s="247">
        <f t="shared" si="4"/>
        <v>-16.816145038987255</v>
      </c>
      <c r="AL20" s="247">
        <f t="shared" si="5"/>
        <v>-5.6975232274855969</v>
      </c>
      <c r="AM20" s="344">
        <f>' Фінплан освоєння '!AC20</f>
        <v>0</v>
      </c>
      <c r="AN20" s="247">
        <f t="shared" si="6"/>
        <v>-16.816145038987255</v>
      </c>
      <c r="AO20" s="247">
        <f t="shared" si="7"/>
        <v>-5.6975232274855969</v>
      </c>
      <c r="AP20" s="344">
        <f>' Фінплан освоєння '!AF20</f>
        <v>0</v>
      </c>
      <c r="AQ20" s="247">
        <f t="shared" si="36"/>
        <v>-15.86349383719587</v>
      </c>
      <c r="AR20" s="247">
        <f t="shared" si="37"/>
        <v>-7.09115031231679</v>
      </c>
      <c r="AS20" s="235">
        <f t="shared" si="8"/>
        <v>329.13897843762777</v>
      </c>
      <c r="AT20" s="248">
        <f t="shared" si="9"/>
        <v>0</v>
      </c>
      <c r="AU20" s="248">
        <f t="shared" si="10"/>
        <v>0</v>
      </c>
      <c r="AV20" s="248">
        <f t="shared" si="11"/>
        <v>0</v>
      </c>
      <c r="AW20" s="248">
        <f t="shared" si="12"/>
        <v>0</v>
      </c>
      <c r="AX20" s="248">
        <f t="shared" si="13"/>
        <v>0</v>
      </c>
      <c r="AY20" s="248">
        <f t="shared" si="14"/>
        <v>644.21464777553297</v>
      </c>
      <c r="AZ20" s="248">
        <f t="shared" si="38"/>
        <v>644.21464777553297</v>
      </c>
      <c r="BA20" s="248">
        <f t="shared" si="15"/>
        <v>0</v>
      </c>
      <c r="BB20" s="248">
        <f t="shared" si="16"/>
        <v>0</v>
      </c>
      <c r="BC20" s="248">
        <f t="shared" si="17"/>
        <v>-7.1107095906706641E-3</v>
      </c>
      <c r="BD20" s="248">
        <f t="shared" si="18"/>
        <v>231.81930083042224</v>
      </c>
      <c r="BE20" s="257" t="e">
        <f>SUM(AT20:BD20)+SUM(#REF!)-AS20</f>
        <v>#REF!</v>
      </c>
      <c r="BF20" s="238"/>
      <c r="BG20" s="238"/>
      <c r="BH20" s="238"/>
      <c r="BI20" s="238"/>
      <c r="BJ20" s="238"/>
      <c r="BK20" s="238"/>
      <c r="BL20" s="238">
        <v>1927.53</v>
      </c>
      <c r="BM20" s="238">
        <f t="shared" si="39"/>
        <v>-24.056067769925193</v>
      </c>
      <c r="BN20" s="238"/>
      <c r="BO20" s="238"/>
      <c r="BP20" s="238">
        <f t="shared" si="19"/>
        <v>1.381146058928806E-3</v>
      </c>
    </row>
    <row r="21" spans="1:68" ht="30" x14ac:dyDescent="0.25">
      <c r="A21" s="229" t="s">
        <v>139</v>
      </c>
      <c r="B21" s="246" t="s">
        <v>140</v>
      </c>
      <c r="C21" s="234">
        <v>1024</v>
      </c>
      <c r="D21" s="235">
        <f t="shared" si="20"/>
        <v>970.26192047364043</v>
      </c>
      <c r="E21" s="344"/>
      <c r="F21" s="247">
        <f t="shared" si="21"/>
        <v>0</v>
      </c>
      <c r="G21" s="247">
        <v>0</v>
      </c>
      <c r="H21" s="247">
        <f t="shared" si="22"/>
        <v>0</v>
      </c>
      <c r="I21" s="344">
        <f>' Фінплан освоєння '!P21</f>
        <v>0</v>
      </c>
      <c r="J21" s="247">
        <f t="shared" si="23"/>
        <v>0</v>
      </c>
      <c r="K21" s="247">
        <v>0</v>
      </c>
      <c r="L21" s="247">
        <f t="shared" si="24"/>
        <v>0</v>
      </c>
      <c r="M21" s="344">
        <f>' Фінплан освоєння '!Q21</f>
        <v>0</v>
      </c>
      <c r="N21" s="247">
        <f t="shared" si="0"/>
        <v>0</v>
      </c>
      <c r="O21" s="247"/>
      <c r="P21" s="247">
        <f t="shared" si="25"/>
        <v>0</v>
      </c>
      <c r="Q21" s="344">
        <f>' Фінплан освоєння '!R21</f>
        <v>0</v>
      </c>
      <c r="R21" s="247">
        <f t="shared" si="26"/>
        <v>0</v>
      </c>
      <c r="S21" s="247"/>
      <c r="T21" s="247">
        <f t="shared" si="27"/>
        <v>0</v>
      </c>
      <c r="U21" s="344">
        <f>' Фінплан освоєння '!S21</f>
        <v>1023.846</v>
      </c>
      <c r="V21" s="247">
        <f t="shared" si="1"/>
        <v>821.83614578268782</v>
      </c>
      <c r="W21" s="247"/>
      <c r="X21" s="247">
        <f t="shared" si="28"/>
        <v>202.00985421731218</v>
      </c>
      <c r="Y21" s="344">
        <f>' Фінплан освоєння '!T21</f>
        <v>0</v>
      </c>
      <c r="Z21" s="247">
        <f t="shared" si="2"/>
        <v>0</v>
      </c>
      <c r="AA21" s="247">
        <f t="shared" si="29"/>
        <v>0</v>
      </c>
      <c r="AB21" s="247">
        <f t="shared" si="30"/>
        <v>0</v>
      </c>
      <c r="AC21" s="344">
        <f t="shared" si="31"/>
        <v>1023.846</v>
      </c>
      <c r="AD21" s="247">
        <f t="shared" si="32"/>
        <v>821.83614578268782</v>
      </c>
      <c r="AE21" s="247">
        <f t="shared" si="33"/>
        <v>0</v>
      </c>
      <c r="AF21" s="321">
        <f t="shared" si="34"/>
        <v>202.00985421731218</v>
      </c>
      <c r="AG21" s="344">
        <f>' Фінплан освоєння '!W21</f>
        <v>0</v>
      </c>
      <c r="AH21" s="247">
        <f t="shared" si="3"/>
        <v>37.852379416953958</v>
      </c>
      <c r="AI21" s="247">
        <f t="shared" si="35"/>
        <v>12.443070889741403</v>
      </c>
      <c r="AJ21" s="344">
        <f>' Фінплан освоєння '!Z21</f>
        <v>0</v>
      </c>
      <c r="AK21" s="247">
        <f t="shared" si="4"/>
        <v>37.567204826327057</v>
      </c>
      <c r="AL21" s="247">
        <f t="shared" si="5"/>
        <v>12.728245480368306</v>
      </c>
      <c r="AM21" s="344">
        <f>' Фінплан освоєння '!AC21</f>
        <v>0</v>
      </c>
      <c r="AN21" s="247">
        <f t="shared" si="6"/>
        <v>37.567204826327057</v>
      </c>
      <c r="AO21" s="247">
        <f t="shared" si="7"/>
        <v>12.728245480368306</v>
      </c>
      <c r="AP21" s="344">
        <f>' Фінплан освоєння '!AF21</f>
        <v>0</v>
      </c>
      <c r="AQ21" s="247">
        <f t="shared" si="36"/>
        <v>35.438985621344571</v>
      </c>
      <c r="AR21" s="247">
        <f t="shared" si="37"/>
        <v>15.841603150987179</v>
      </c>
      <c r="AS21" s="235">
        <f t="shared" si="8"/>
        <v>0</v>
      </c>
      <c r="AT21" s="248">
        <f t="shared" si="9"/>
        <v>0</v>
      </c>
      <c r="AU21" s="248">
        <f t="shared" si="10"/>
        <v>0</v>
      </c>
      <c r="AV21" s="248">
        <f t="shared" si="11"/>
        <v>0</v>
      </c>
      <c r="AW21" s="248">
        <f t="shared" si="12"/>
        <v>0</v>
      </c>
      <c r="AX21" s="248">
        <f t="shared" si="13"/>
        <v>-2.5207818750919736E-2</v>
      </c>
      <c r="AY21" s="248">
        <f t="shared" si="14"/>
        <v>0</v>
      </c>
      <c r="AZ21" s="248">
        <f t="shared" si="38"/>
        <v>-2.5207818750919736E-2</v>
      </c>
      <c r="BA21" s="248">
        <f t="shared" si="15"/>
        <v>0</v>
      </c>
      <c r="BB21" s="248">
        <f t="shared" si="16"/>
        <v>0</v>
      </c>
      <c r="BC21" s="248">
        <f t="shared" si="17"/>
        <v>0</v>
      </c>
      <c r="BD21" s="248">
        <f t="shared" si="18"/>
        <v>0</v>
      </c>
      <c r="BE21" s="257" t="e">
        <f>SUM(AT21:BD21)+SUM(#REF!)-AS21</f>
        <v>#REF!</v>
      </c>
      <c r="BF21" s="238"/>
      <c r="BG21" s="238"/>
      <c r="BH21" s="238"/>
      <c r="BI21" s="238"/>
      <c r="BJ21" s="238"/>
      <c r="BK21" s="238">
        <v>1023.846</v>
      </c>
      <c r="BL21" s="238"/>
      <c r="BM21" s="238">
        <f t="shared" si="39"/>
        <v>53.741165001465191</v>
      </c>
      <c r="BN21" s="238"/>
      <c r="BO21" s="238"/>
      <c r="BP21" s="238">
        <f t="shared" si="19"/>
        <v>-3.0854751056530461E-3</v>
      </c>
    </row>
    <row r="22" spans="1:68" ht="30" x14ac:dyDescent="0.25">
      <c r="A22" s="229" t="s">
        <v>141</v>
      </c>
      <c r="B22" s="246" t="s">
        <v>142</v>
      </c>
      <c r="C22" s="234">
        <v>253</v>
      </c>
      <c r="D22" s="235">
        <f t="shared" si="20"/>
        <v>158.18424028687377</v>
      </c>
      <c r="E22" s="344">
        <v>20.574000000000002</v>
      </c>
      <c r="F22" s="247">
        <f t="shared" si="21"/>
        <v>1.1225330245811651</v>
      </c>
      <c r="G22" s="247">
        <v>4.7663776931400337</v>
      </c>
      <c r="H22" s="247">
        <f t="shared" si="22"/>
        <v>14.685089282278803</v>
      </c>
      <c r="I22" s="344">
        <f>' Фінплан освоєння '!P22</f>
        <v>232.75299999999999</v>
      </c>
      <c r="J22" s="247">
        <f t="shared" si="23"/>
        <v>74.183410972295633</v>
      </c>
      <c r="K22" s="247">
        <v>60.043000134397673</v>
      </c>
      <c r="L22" s="247">
        <f t="shared" si="24"/>
        <v>98.52658889330668</v>
      </c>
      <c r="M22" s="344">
        <f>' Фінплан освоєння '!Q22</f>
        <v>0</v>
      </c>
      <c r="N22" s="247">
        <f t="shared" si="0"/>
        <v>0</v>
      </c>
      <c r="O22" s="247"/>
      <c r="P22" s="247">
        <f t="shared" si="25"/>
        <v>0</v>
      </c>
      <c r="Q22" s="344">
        <f>' Фінплан освоєння '!R22</f>
        <v>0</v>
      </c>
      <c r="R22" s="247">
        <f t="shared" si="26"/>
        <v>0</v>
      </c>
      <c r="S22" s="247"/>
      <c r="T22" s="247">
        <f t="shared" si="27"/>
        <v>0</v>
      </c>
      <c r="U22" s="344">
        <f>' Фінплан освоєння '!S22</f>
        <v>0</v>
      </c>
      <c r="V22" s="247">
        <f t="shared" si="1"/>
        <v>0</v>
      </c>
      <c r="W22" s="247"/>
      <c r="X22" s="247">
        <f t="shared" si="28"/>
        <v>0</v>
      </c>
      <c r="Y22" s="344">
        <f>' Фінплан освоєння '!T22</f>
        <v>0</v>
      </c>
      <c r="Z22" s="247">
        <f t="shared" si="2"/>
        <v>0</v>
      </c>
      <c r="AA22" s="247">
        <f t="shared" si="29"/>
        <v>0</v>
      </c>
      <c r="AB22" s="247">
        <f t="shared" si="30"/>
        <v>0</v>
      </c>
      <c r="AC22" s="344">
        <f t="shared" si="31"/>
        <v>253.327</v>
      </c>
      <c r="AD22" s="247">
        <f t="shared" si="32"/>
        <v>75.305943996876792</v>
      </c>
      <c r="AE22" s="247">
        <f t="shared" si="33"/>
        <v>64.809377827537702</v>
      </c>
      <c r="AF22" s="321">
        <f t="shared" si="34"/>
        <v>113.21167817558549</v>
      </c>
      <c r="AG22" s="344">
        <f>' Фінплан освоєння '!W22</f>
        <v>0</v>
      </c>
      <c r="AH22" s="247">
        <f t="shared" si="3"/>
        <v>21.136091242452636</v>
      </c>
      <c r="AI22" s="247">
        <f t="shared" si="35"/>
        <v>6.9479880977861255</v>
      </c>
      <c r="AJ22" s="344">
        <f>' Фінплан освоєння '!Z22</f>
        <v>0</v>
      </c>
      <c r="AK22" s="247">
        <f t="shared" si="4"/>
        <v>20.976854854665095</v>
      </c>
      <c r="AL22" s="247">
        <f t="shared" si="5"/>
        <v>7.1072244855736688</v>
      </c>
      <c r="AM22" s="344">
        <f>' Фінплан освоєння '!AC22</f>
        <v>0</v>
      </c>
      <c r="AN22" s="247">
        <f t="shared" si="6"/>
        <v>20.976854854665095</v>
      </c>
      <c r="AO22" s="247">
        <f t="shared" si="7"/>
        <v>7.1072244855736688</v>
      </c>
      <c r="AP22" s="344">
        <f>' Фінплан освоєння '!AF22</f>
        <v>0</v>
      </c>
      <c r="AQ22" s="247">
        <f t="shared" si="36"/>
        <v>19.788495338214133</v>
      </c>
      <c r="AR22" s="247">
        <f t="shared" si="37"/>
        <v>8.845667690734949</v>
      </c>
      <c r="AS22" s="235">
        <f t="shared" si="8"/>
        <v>64.809377827537702</v>
      </c>
      <c r="AT22" s="248">
        <f t="shared" si="9"/>
        <v>4.7661970651708518</v>
      </c>
      <c r="AU22" s="248">
        <f t="shared" si="10"/>
        <v>60.038883066707079</v>
      </c>
      <c r="AV22" s="248">
        <f t="shared" si="11"/>
        <v>0</v>
      </c>
      <c r="AW22" s="248">
        <f t="shared" si="12"/>
        <v>0</v>
      </c>
      <c r="AX22" s="248">
        <f t="shared" si="13"/>
        <v>0</v>
      </c>
      <c r="AY22" s="248">
        <f t="shared" si="14"/>
        <v>0</v>
      </c>
      <c r="AZ22" s="248">
        <f t="shared" si="38"/>
        <v>64.805080131877929</v>
      </c>
      <c r="BA22" s="248">
        <f t="shared" si="15"/>
        <v>0</v>
      </c>
      <c r="BB22" s="248">
        <f t="shared" si="16"/>
        <v>0</v>
      </c>
      <c r="BC22" s="248">
        <f t="shared" si="17"/>
        <v>-1.4001400462236679E-3</v>
      </c>
      <c r="BD22" s="248">
        <f t="shared" si="18"/>
        <v>45.646567679560128</v>
      </c>
      <c r="BE22" s="257" t="e">
        <f>SUM(AT22:BD22)+SUM(#REF!)-AS22</f>
        <v>#REF!</v>
      </c>
      <c r="BF22" s="238"/>
      <c r="BG22" s="238">
        <v>20.574000000000002</v>
      </c>
      <c r="BH22" s="238">
        <v>232.75299999999999</v>
      </c>
      <c r="BI22" s="238"/>
      <c r="BJ22" s="238"/>
      <c r="BK22" s="238"/>
      <c r="BL22" s="238"/>
      <c r="BM22" s="238">
        <f t="shared" si="39"/>
        <v>30.008104759668413</v>
      </c>
      <c r="BN22" s="238"/>
      <c r="BO22" s="238"/>
      <c r="BP22" s="238">
        <f t="shared" si="19"/>
        <v>-1.7228740798671538E-3</v>
      </c>
    </row>
    <row r="23" spans="1:68" x14ac:dyDescent="0.25">
      <c r="A23" s="233" t="s">
        <v>143</v>
      </c>
      <c r="B23" s="241"/>
      <c r="C23" s="237">
        <v>65996</v>
      </c>
      <c r="D23" s="235">
        <f>AD23+AH23+AK23+AN23+AQ23</f>
        <v>48961.989035733168</v>
      </c>
      <c r="E23" s="345">
        <f>SUM(E15:E22)</f>
        <v>20627.878000000001</v>
      </c>
      <c r="F23" s="258">
        <f t="shared" si="21"/>
        <v>1125.4726490731639</v>
      </c>
      <c r="G23" s="258">
        <v>4778.8596070775757</v>
      </c>
      <c r="H23" s="247">
        <f t="shared" si="22"/>
        <v>14723.545743849263</v>
      </c>
      <c r="I23" s="345">
        <f>' Фінплан освоєння '!P23</f>
        <v>14236.846000000001</v>
      </c>
      <c r="J23" s="258">
        <f t="shared" si="23"/>
        <v>4537.5904833333334</v>
      </c>
      <c r="K23" s="258">
        <v>3672.6613461111101</v>
      </c>
      <c r="L23" s="247">
        <f t="shared" si="24"/>
        <v>6026.5941705555579</v>
      </c>
      <c r="M23" s="345">
        <f>' Фінплан освоєння '!Q23</f>
        <v>0</v>
      </c>
      <c r="N23" s="258">
        <f t="shared" si="0"/>
        <v>0</v>
      </c>
      <c r="O23" s="258"/>
      <c r="P23" s="247">
        <f t="shared" si="25"/>
        <v>0</v>
      </c>
      <c r="Q23" s="345">
        <f>' Фінплан освоєння '!R23</f>
        <v>13062.538</v>
      </c>
      <c r="R23" s="258">
        <f t="shared" si="26"/>
        <v>8210</v>
      </c>
      <c r="S23" s="258"/>
      <c r="T23" s="247">
        <f t="shared" si="27"/>
        <v>4852.5380000000005</v>
      </c>
      <c r="U23" s="345">
        <f>' Фінплан освоєння '!S23</f>
        <v>10228.357</v>
      </c>
      <c r="V23" s="258">
        <f t="shared" si="1"/>
        <v>8210.2518294444435</v>
      </c>
      <c r="W23" s="258"/>
      <c r="X23" s="247">
        <f t="shared" si="28"/>
        <v>2018.1051705555565</v>
      </c>
      <c r="Y23" s="345">
        <f>' Фінплан освоєння '!T23</f>
        <v>7840.0129999999999</v>
      </c>
      <c r="Z23" s="258">
        <f t="shared" si="2"/>
        <v>6871.263964888888</v>
      </c>
      <c r="AA23" s="258">
        <f t="shared" si="29"/>
        <v>1338.736035111112</v>
      </c>
      <c r="AB23" s="247">
        <f t="shared" si="30"/>
        <v>-369.98700000000008</v>
      </c>
      <c r="AC23" s="345">
        <f t="shared" si="31"/>
        <v>65995.632000000012</v>
      </c>
      <c r="AD23" s="258">
        <f t="shared" si="32"/>
        <v>28954.578926739829</v>
      </c>
      <c r="AE23" s="258">
        <f t="shared" si="33"/>
        <v>9790.2569882997996</v>
      </c>
      <c r="AF23" s="321">
        <f t="shared" si="34"/>
        <v>27250.796084960377</v>
      </c>
      <c r="AG23" s="345">
        <f>' Фінплан освоєння '!W23</f>
        <v>0</v>
      </c>
      <c r="AH23" s="258">
        <f>SUM(AH16:AH22)</f>
        <v>5102.4027341147475</v>
      </c>
      <c r="AI23" s="258">
        <f>SUM(AI16:AI22)</f>
        <v>1677.2937370527197</v>
      </c>
      <c r="AJ23" s="345">
        <f>' Фінплан освоєння '!Z23</f>
        <v>0</v>
      </c>
      <c r="AK23" s="258">
        <f t="shared" ref="AK23:AL23" si="40">SUM(AK16:AK22)</f>
        <v>5063.9619377017461</v>
      </c>
      <c r="AL23" s="258">
        <f t="shared" si="40"/>
        <v>1715.7345334657198</v>
      </c>
      <c r="AM23" s="345">
        <f>' Фінплан освоєння '!AC23</f>
        <v>0</v>
      </c>
      <c r="AN23" s="258">
        <f t="shared" ref="AN23:AO23" si="41">SUM(AN16:AN22)</f>
        <v>5063.9619377017461</v>
      </c>
      <c r="AO23" s="258">
        <f t="shared" si="41"/>
        <v>1715.7345334657198</v>
      </c>
      <c r="AP23" s="345">
        <f>' Фінплан освоєння '!AF23</f>
        <v>0</v>
      </c>
      <c r="AQ23" s="258">
        <f>SUM(AQ16:AQ22)</f>
        <v>4777.0834994751031</v>
      </c>
      <c r="AR23" s="258">
        <f t="shared" ref="AR23" si="42">SUM(AR16:AR22)</f>
        <v>2135.4070860378774</v>
      </c>
      <c r="AS23" s="235">
        <f t="shared" si="8"/>
        <v>9790.2569882997996</v>
      </c>
      <c r="AT23" s="248">
        <f t="shared" si="9"/>
        <v>4778.6785060903267</v>
      </c>
      <c r="AU23" s="248">
        <f t="shared" si="10"/>
        <v>3672.4095166666666</v>
      </c>
      <c r="AV23" s="248">
        <f t="shared" si="11"/>
        <v>0</v>
      </c>
      <c r="AW23" s="248">
        <f t="shared" si="12"/>
        <v>372.87536933333286</v>
      </c>
      <c r="AX23" s="248">
        <f t="shared" si="13"/>
        <v>-0.25182944444350142</v>
      </c>
      <c r="AY23" s="248">
        <f t="shared" si="14"/>
        <v>2620.2711311111107</v>
      </c>
      <c r="AZ23" s="248">
        <f t="shared" si="38"/>
        <v>11443.982693756994</v>
      </c>
      <c r="BA23" s="258">
        <f t="shared" ref="BA23" si="43">SUM(BA16:BA22)</f>
        <v>0</v>
      </c>
      <c r="BB23" s="258">
        <f t="shared" ref="BB23" si="44">SUM(BB16:BB22)</f>
        <v>0</v>
      </c>
      <c r="BC23" s="258">
        <f t="shared" ref="BC23" si="45">SUM(BC16:BC22)</f>
        <v>-0.21150844725923615</v>
      </c>
      <c r="BD23" s="258">
        <f t="shared" ref="BD23" si="46">SUM(BD16:BD22)</f>
        <v>6895.4778335617293</v>
      </c>
      <c r="BE23" s="320" t="e">
        <f>SUM(AT23:BD23)+SUM(#REF!)-AS23</f>
        <v>#REF!</v>
      </c>
      <c r="BF23" s="238">
        <v>5906.616</v>
      </c>
      <c r="BG23" s="238">
        <v>14721.262000000001</v>
      </c>
      <c r="BH23" s="238">
        <v>14236.846000000001</v>
      </c>
      <c r="BI23" s="238">
        <v>0</v>
      </c>
      <c r="BJ23" s="238">
        <v>13062.538</v>
      </c>
      <c r="BK23" s="238">
        <v>10228.357</v>
      </c>
      <c r="BL23" s="238">
        <v>7840.0129999999999</v>
      </c>
      <c r="BM23" s="238">
        <f t="shared" si="39"/>
        <v>7244.1698900220363</v>
      </c>
      <c r="BN23" s="238"/>
      <c r="BO23" s="238"/>
      <c r="BP23" s="238">
        <f t="shared" si="19"/>
        <v>-0.41591405500776091</v>
      </c>
    </row>
    <row r="24" spans="1:68" ht="29.25" x14ac:dyDescent="0.25">
      <c r="A24" s="233" t="s">
        <v>144</v>
      </c>
      <c r="B24" s="241" t="s">
        <v>145</v>
      </c>
      <c r="C24" s="234"/>
      <c r="D24" s="235">
        <f t="shared" ref="D24:D28" si="47">C24/$C$31*$D$32</f>
        <v>0</v>
      </c>
      <c r="E24" s="344"/>
      <c r="F24" s="247">
        <f t="shared" si="21"/>
        <v>0</v>
      </c>
      <c r="G24" s="247">
        <v>0</v>
      </c>
      <c r="H24" s="247">
        <f t="shared" si="22"/>
        <v>0</v>
      </c>
      <c r="I24" s="344">
        <f>' Фінплан освоєння '!P24</f>
        <v>0</v>
      </c>
      <c r="J24" s="247">
        <f t="shared" si="23"/>
        <v>0</v>
      </c>
      <c r="K24" s="247">
        <v>0</v>
      </c>
      <c r="L24" s="247">
        <f t="shared" si="24"/>
        <v>0</v>
      </c>
      <c r="M24" s="344">
        <f>' Фінплан освоєння '!Q24</f>
        <v>0</v>
      </c>
      <c r="N24" s="247">
        <f t="shared" si="0"/>
        <v>0</v>
      </c>
      <c r="O24" s="247"/>
      <c r="P24" s="247">
        <f t="shared" si="25"/>
        <v>0</v>
      </c>
      <c r="Q24" s="344">
        <f>' Фінплан освоєння '!R24</f>
        <v>0</v>
      </c>
      <c r="R24" s="247">
        <f t="shared" si="26"/>
        <v>0</v>
      </c>
      <c r="S24" s="247"/>
      <c r="T24" s="247">
        <f t="shared" si="27"/>
        <v>0</v>
      </c>
      <c r="U24" s="344">
        <f>' Фінплан освоєння '!S24</f>
        <v>0</v>
      </c>
      <c r="V24" s="247">
        <f t="shared" si="1"/>
        <v>0</v>
      </c>
      <c r="W24" s="247"/>
      <c r="X24" s="247">
        <f t="shared" si="28"/>
        <v>0</v>
      </c>
      <c r="Y24" s="344">
        <f>' Фінплан освоєння '!T24</f>
        <v>0</v>
      </c>
      <c r="Z24" s="247">
        <f t="shared" si="2"/>
        <v>0</v>
      </c>
      <c r="AA24" s="247">
        <f t="shared" si="29"/>
        <v>0</v>
      </c>
      <c r="AB24" s="247">
        <f t="shared" si="30"/>
        <v>0</v>
      </c>
      <c r="AC24" s="344">
        <f t="shared" si="31"/>
        <v>0</v>
      </c>
      <c r="AD24" s="247">
        <f t="shared" si="32"/>
        <v>0</v>
      </c>
      <c r="AE24" s="247">
        <f t="shared" si="33"/>
        <v>0</v>
      </c>
      <c r="AF24" s="321">
        <f t="shared" si="34"/>
        <v>0</v>
      </c>
      <c r="AG24" s="344">
        <f>' Фінплан освоєння '!W24</f>
        <v>0</v>
      </c>
      <c r="AH24" s="247">
        <f t="shared" ref="AH24:AH28" si="48">AG24/$Y$31*$Z$33</f>
        <v>0</v>
      </c>
      <c r="AI24" s="247">
        <f t="shared" ref="AI24:AI28" si="49">AG24/$Y$31*$AA$31</f>
        <v>0</v>
      </c>
      <c r="AJ24" s="344">
        <f>' Фінплан освоєння '!Z24</f>
        <v>0</v>
      </c>
      <c r="AK24" s="247">
        <f>$AK$31*G53</f>
        <v>0</v>
      </c>
      <c r="AL24" s="247">
        <f t="shared" ref="AL24:AL28" si="50">AJ24/$Y$31*$AA$31</f>
        <v>0</v>
      </c>
      <c r="AM24" s="344">
        <f>' Фінплан освоєння '!AC24</f>
        <v>0</v>
      </c>
      <c r="AN24" s="247">
        <f t="shared" ref="AN24:AN28" si="51">AM24/$Y$31*$Z$33</f>
        <v>0</v>
      </c>
      <c r="AO24" s="247">
        <f t="shared" ref="AO24:AO28" si="52">AM24/$Y$31*$AA$31</f>
        <v>0</v>
      </c>
      <c r="AP24" s="344">
        <f>' Фінплан освоєння '!AF24</f>
        <v>0</v>
      </c>
      <c r="AQ24" s="247">
        <f t="shared" ref="AQ24:AQ26" si="53">$AQ$31*G53</f>
        <v>0</v>
      </c>
      <c r="AR24" s="247">
        <f t="shared" ref="AR24:AR26" si="54">$AR$31*G53</f>
        <v>0</v>
      </c>
      <c r="AS24" s="235">
        <f t="shared" si="8"/>
        <v>0</v>
      </c>
      <c r="AT24" s="248">
        <f t="shared" si="9"/>
        <v>0</v>
      </c>
      <c r="AU24" s="248">
        <f t="shared" si="10"/>
        <v>0</v>
      </c>
      <c r="AV24" s="248">
        <f t="shared" si="11"/>
        <v>0</v>
      </c>
      <c r="AW24" s="248">
        <f t="shared" si="12"/>
        <v>0</v>
      </c>
      <c r="AX24" s="248">
        <f t="shared" si="13"/>
        <v>0</v>
      </c>
      <c r="AY24" s="248">
        <f t="shared" si="14"/>
        <v>0</v>
      </c>
      <c r="AZ24" s="248">
        <f t="shared" si="38"/>
        <v>0</v>
      </c>
      <c r="BA24" s="248">
        <f>AS24/$AS$31*$BA$33</f>
        <v>0</v>
      </c>
      <c r="BB24" s="248">
        <f>AS24/$AS$31*$BB$33</f>
        <v>0</v>
      </c>
      <c r="BC24" s="248">
        <f>AS24/$AS$31*$BC$33</f>
        <v>0</v>
      </c>
      <c r="BD24" s="248">
        <f>AS24/$AS$31*$BD$33</f>
        <v>0</v>
      </c>
      <c r="BE24" s="257" t="e">
        <f>SUM(AT24:BD24)+SUM(#REF!)-AS24</f>
        <v>#REF!</v>
      </c>
      <c r="BF24" s="238"/>
      <c r="BG24" s="238"/>
      <c r="BH24" s="238"/>
      <c r="BI24" s="238"/>
      <c r="BJ24" s="238"/>
      <c r="BK24" s="238"/>
      <c r="BL24" s="238"/>
      <c r="BM24" s="238">
        <f t="shared" si="39"/>
        <v>0</v>
      </c>
      <c r="BN24" s="238"/>
      <c r="BO24" s="238"/>
      <c r="BP24" s="238">
        <f t="shared" si="19"/>
        <v>0</v>
      </c>
    </row>
    <row r="25" spans="1:68" x14ac:dyDescent="0.25">
      <c r="A25" s="229" t="s">
        <v>146</v>
      </c>
      <c r="B25" s="246" t="s">
        <v>147</v>
      </c>
      <c r="C25" s="234">
        <v>4843</v>
      </c>
      <c r="D25" s="235">
        <f>AD25+AH25+AK25+AN25+AQ25</f>
        <v>2802.1101349774208</v>
      </c>
      <c r="E25" s="344">
        <f>' Фінплан освоєння '!O25</f>
        <v>4843.3140000000003</v>
      </c>
      <c r="F25" s="247">
        <f t="shared" si="21"/>
        <v>264.25488059766218</v>
      </c>
      <c r="G25" s="247">
        <v>1122.0503456047841</v>
      </c>
      <c r="H25" s="247">
        <f t="shared" si="22"/>
        <v>3457.0087737975541</v>
      </c>
      <c r="I25" s="344">
        <f>' Фінплан освоєння '!P25</f>
        <v>0</v>
      </c>
      <c r="J25" s="247">
        <f t="shared" si="23"/>
        <v>0</v>
      </c>
      <c r="K25" s="247">
        <v>0</v>
      </c>
      <c r="L25" s="247">
        <f t="shared" si="24"/>
        <v>0</v>
      </c>
      <c r="M25" s="344">
        <f>' Фінплан освоєння '!Q25</f>
        <v>0</v>
      </c>
      <c r="N25" s="247">
        <f t="shared" si="0"/>
        <v>0</v>
      </c>
      <c r="O25" s="247"/>
      <c r="P25" s="247">
        <f t="shared" si="25"/>
        <v>0</v>
      </c>
      <c r="Q25" s="344">
        <f>' Фінплан освоєння '!R25</f>
        <v>0</v>
      </c>
      <c r="R25" s="247">
        <f t="shared" si="26"/>
        <v>0</v>
      </c>
      <c r="S25" s="247"/>
      <c r="T25" s="247">
        <f t="shared" si="27"/>
        <v>0</v>
      </c>
      <c r="U25" s="344">
        <f>' Фінплан освоєння '!S25</f>
        <v>0</v>
      </c>
      <c r="V25" s="247">
        <f t="shared" si="1"/>
        <v>0</v>
      </c>
      <c r="W25" s="247"/>
      <c r="X25" s="247">
        <f t="shared" si="28"/>
        <v>0</v>
      </c>
      <c r="Y25" s="344">
        <f>' Фінплан освоєння '!T25</f>
        <v>0</v>
      </c>
      <c r="Z25" s="247">
        <f t="shared" si="2"/>
        <v>0</v>
      </c>
      <c r="AA25" s="247">
        <f t="shared" si="29"/>
        <v>0</v>
      </c>
      <c r="AB25" s="247">
        <f t="shared" si="30"/>
        <v>0</v>
      </c>
      <c r="AC25" s="344">
        <f t="shared" si="31"/>
        <v>4843.3140000000003</v>
      </c>
      <c r="AD25" s="247">
        <f t="shared" si="32"/>
        <v>264.25488059766218</v>
      </c>
      <c r="AE25" s="247">
        <f t="shared" si="33"/>
        <v>1122.0503456047841</v>
      </c>
      <c r="AF25" s="321">
        <f t="shared" si="34"/>
        <v>3457.0087737975541</v>
      </c>
      <c r="AG25" s="344">
        <f>' Фінплан освоєння '!W25</f>
        <v>0</v>
      </c>
      <c r="AH25" s="247">
        <f>$AH$31*G54</f>
        <v>647.21818157334121</v>
      </c>
      <c r="AI25" s="247">
        <f>$AI$31*G54</f>
        <v>212.75760833252991</v>
      </c>
      <c r="AJ25" s="344">
        <f>' Фінплан освоєння '!Z25</f>
        <v>0</v>
      </c>
      <c r="AK25" s="247">
        <f>$AK$31*G54</f>
        <v>642.3421293193104</v>
      </c>
      <c r="AL25" s="247">
        <f>$AL$31*G54</f>
        <v>217.63366058656069</v>
      </c>
      <c r="AM25" s="344">
        <f>' Фінплан освоєння '!AC25</f>
        <v>0</v>
      </c>
      <c r="AN25" s="247">
        <f>$AN$31*G54</f>
        <v>642.3421293193104</v>
      </c>
      <c r="AO25" s="247">
        <f>$AO$31*G54</f>
        <v>217.63366058656069</v>
      </c>
      <c r="AP25" s="344">
        <f>' Фінплан освоєння '!AF25</f>
        <v>0</v>
      </c>
      <c r="AQ25" s="247">
        <f t="shared" si="53"/>
        <v>605.9528141677963</v>
      </c>
      <c r="AR25" s="247">
        <f t="shared" si="54"/>
        <v>270.86734684890541</v>
      </c>
      <c r="AS25" s="235">
        <f t="shared" si="8"/>
        <v>1122.0503456047841</v>
      </c>
      <c r="AT25" s="248">
        <f t="shared" si="9"/>
        <v>1122.0078240741179</v>
      </c>
      <c r="AU25" s="248">
        <f t="shared" si="10"/>
        <v>0</v>
      </c>
      <c r="AV25" s="248">
        <f t="shared" si="11"/>
        <v>0</v>
      </c>
      <c r="AW25" s="248">
        <f t="shared" si="12"/>
        <v>0</v>
      </c>
      <c r="AX25" s="248">
        <f t="shared" si="13"/>
        <v>0</v>
      </c>
      <c r="AY25" s="248">
        <f t="shared" si="14"/>
        <v>0</v>
      </c>
      <c r="AZ25" s="248">
        <f t="shared" si="38"/>
        <v>1122.0078240741179</v>
      </c>
      <c r="BA25" s="248">
        <f>AS25/$AS$31*$BA$33</f>
        <v>0</v>
      </c>
      <c r="BB25" s="248">
        <f>AS25/$AS$31*$BB$33</f>
        <v>0</v>
      </c>
      <c r="BC25" s="248">
        <f>AS25/$AS$31*$BC$33</f>
        <v>-2.4240745327643476E-2</v>
      </c>
      <c r="BD25" s="248">
        <f>AS25/$AS$31*$BD$33</f>
        <v>790.28296146919706</v>
      </c>
      <c r="BE25" s="257" t="e">
        <f>SUM(AT25:BD25)+SUM(#REF!)-AS25</f>
        <v>#REF!</v>
      </c>
      <c r="BF25" s="238"/>
      <c r="BG25" s="238">
        <v>4843.3140000000003</v>
      </c>
      <c r="BH25" s="238"/>
      <c r="BI25" s="238"/>
      <c r="BJ25" s="238"/>
      <c r="BK25" s="238"/>
      <c r="BL25" s="238"/>
      <c r="BM25" s="238">
        <f t="shared" si="39"/>
        <v>918.89227635455677</v>
      </c>
      <c r="BN25" s="238"/>
      <c r="BO25" s="238"/>
      <c r="BP25" s="238">
        <f t="shared" si="19"/>
        <v>-5.2756936760943063E-2</v>
      </c>
    </row>
    <row r="26" spans="1:68" x14ac:dyDescent="0.25">
      <c r="A26" s="229" t="s">
        <v>148</v>
      </c>
      <c r="B26" s="246" t="s">
        <v>149</v>
      </c>
      <c r="C26" s="234">
        <v>3213</v>
      </c>
      <c r="D26" s="235">
        <f t="shared" si="20"/>
        <v>1859.0656888328151</v>
      </c>
      <c r="E26" s="344">
        <f>' Фінплан освоєння '!O26</f>
        <v>3212.8429999999998</v>
      </c>
      <c r="F26" s="247">
        <f t="shared" si="21"/>
        <v>175.29514777361837</v>
      </c>
      <c r="G26" s="247">
        <v>744.31919931763889</v>
      </c>
      <c r="H26" s="247">
        <f t="shared" si="22"/>
        <v>2293.2286529087428</v>
      </c>
      <c r="I26" s="344">
        <f>' Фінплан освоєння '!P26</f>
        <v>0</v>
      </c>
      <c r="J26" s="247">
        <f t="shared" si="23"/>
        <v>0</v>
      </c>
      <c r="K26" s="247">
        <v>0</v>
      </c>
      <c r="L26" s="247">
        <f t="shared" si="24"/>
        <v>0</v>
      </c>
      <c r="M26" s="344">
        <f>' Фінплан освоєння '!Q26</f>
        <v>0</v>
      </c>
      <c r="N26" s="247">
        <f t="shared" si="0"/>
        <v>0</v>
      </c>
      <c r="O26" s="247"/>
      <c r="P26" s="247">
        <f t="shared" si="25"/>
        <v>0</v>
      </c>
      <c r="Q26" s="344">
        <f>' Фінплан освоєння '!R26</f>
        <v>0</v>
      </c>
      <c r="R26" s="247">
        <f t="shared" si="26"/>
        <v>0</v>
      </c>
      <c r="S26" s="247"/>
      <c r="T26" s="247">
        <f t="shared" si="27"/>
        <v>0</v>
      </c>
      <c r="U26" s="344">
        <f>' Фінплан освоєння '!S26</f>
        <v>0</v>
      </c>
      <c r="V26" s="247">
        <f t="shared" si="1"/>
        <v>0</v>
      </c>
      <c r="W26" s="247"/>
      <c r="X26" s="247">
        <f t="shared" si="28"/>
        <v>0</v>
      </c>
      <c r="Y26" s="344">
        <f>' Фінплан освоєння '!T26</f>
        <v>0</v>
      </c>
      <c r="Z26" s="247">
        <f t="shared" si="2"/>
        <v>0</v>
      </c>
      <c r="AA26" s="247">
        <f t="shared" si="29"/>
        <v>0</v>
      </c>
      <c r="AB26" s="247">
        <f t="shared" si="30"/>
        <v>0</v>
      </c>
      <c r="AC26" s="344">
        <f t="shared" si="31"/>
        <v>3212.8429999999998</v>
      </c>
      <c r="AD26" s="247">
        <f t="shared" si="32"/>
        <v>175.29514777361837</v>
      </c>
      <c r="AE26" s="247">
        <f t="shared" si="33"/>
        <v>744.31919931763889</v>
      </c>
      <c r="AF26" s="321">
        <f t="shared" si="34"/>
        <v>2293.2286529087428</v>
      </c>
      <c r="AG26" s="344">
        <f>' Фінплан освоєння '!W26</f>
        <v>0</v>
      </c>
      <c r="AH26" s="247">
        <f>$AH$31*G55</f>
        <v>429.40467384434379</v>
      </c>
      <c r="AI26" s="247">
        <f>$AI$31*G55</f>
        <v>141.15658987181908</v>
      </c>
      <c r="AJ26" s="344">
        <f>' Фінплан освоєння '!Z26</f>
        <v>0</v>
      </c>
      <c r="AK26" s="247">
        <f>$AK$31*G55</f>
        <v>426.1695984286622</v>
      </c>
      <c r="AL26" s="247">
        <f>$AL$31*G55</f>
        <v>144.39166528750067</v>
      </c>
      <c r="AM26" s="344">
        <f>' Фінплан освоєння '!AC26</f>
        <v>0</v>
      </c>
      <c r="AN26" s="247">
        <f>$AN$31*G55</f>
        <v>426.1695984286622</v>
      </c>
      <c r="AO26" s="247">
        <f>$AO$31*G55</f>
        <v>144.39166528750067</v>
      </c>
      <c r="AP26" s="344">
        <f>' Фінплан освоєння '!AF26</f>
        <v>0</v>
      </c>
      <c r="AQ26" s="247">
        <f t="shared" si="53"/>
        <v>402.02667035752876</v>
      </c>
      <c r="AR26" s="247">
        <f t="shared" si="54"/>
        <v>179.71019362588288</v>
      </c>
      <c r="AS26" s="235">
        <f t="shared" si="8"/>
        <v>744.31919931763889</v>
      </c>
      <c r="AT26" s="248">
        <f t="shared" si="9"/>
        <v>744.29099239111088</v>
      </c>
      <c r="AU26" s="248">
        <f t="shared" si="10"/>
        <v>0</v>
      </c>
      <c r="AV26" s="248">
        <f t="shared" si="11"/>
        <v>0</v>
      </c>
      <c r="AW26" s="248">
        <f t="shared" si="12"/>
        <v>0</v>
      </c>
      <c r="AX26" s="248">
        <f t="shared" si="13"/>
        <v>0</v>
      </c>
      <c r="AY26" s="248">
        <f t="shared" si="14"/>
        <v>0</v>
      </c>
      <c r="AZ26" s="248">
        <f t="shared" si="38"/>
        <v>744.29099239111088</v>
      </c>
      <c r="BA26" s="248">
        <f>AS26/$AS$31*$BA$33</f>
        <v>0</v>
      </c>
      <c r="BB26" s="248">
        <f>AS26/$AS$31*$BB$33</f>
        <v>0</v>
      </c>
      <c r="BC26" s="248">
        <f>AS26/$AS$31*$BC$33</f>
        <v>-1.6080251856621732E-2</v>
      </c>
      <c r="BD26" s="248">
        <f>AS26/$AS$31*$BD$33</f>
        <v>524.2392049690726</v>
      </c>
      <c r="BE26" s="257" t="e">
        <f>SUM(AT26:BD26)+SUM(#REF!)-AS26</f>
        <v>#REF!</v>
      </c>
      <c r="BF26" s="238"/>
      <c r="BG26" s="238">
        <v>3212.8429999999998</v>
      </c>
      <c r="BH26" s="238"/>
      <c r="BI26" s="238"/>
      <c r="BJ26" s="238"/>
      <c r="BK26" s="238"/>
      <c r="BL26" s="238"/>
      <c r="BM26" s="238">
        <f t="shared" si="39"/>
        <v>609.65011407270333</v>
      </c>
      <c r="BN26" s="238"/>
      <c r="BO26" s="238"/>
      <c r="BP26" s="238">
        <f t="shared" si="19"/>
        <v>-3.5002223157391654E-2</v>
      </c>
    </row>
    <row r="27" spans="1:68" x14ac:dyDescent="0.25">
      <c r="A27" s="233" t="s">
        <v>150</v>
      </c>
      <c r="B27" s="241"/>
      <c r="C27" s="237">
        <v>8056</v>
      </c>
      <c r="D27" s="235">
        <f>AD27+AH27+AK27+AN27+AQ27</f>
        <v>4661.1758238102357</v>
      </c>
      <c r="E27" s="345">
        <f>E25+E26</f>
        <v>8056.1570000000002</v>
      </c>
      <c r="F27" s="258">
        <f t="shared" si="21"/>
        <v>439.55002837128052</v>
      </c>
      <c r="G27" s="258">
        <v>1866.3695449224231</v>
      </c>
      <c r="H27" s="247">
        <f t="shared" si="22"/>
        <v>5750.237426706296</v>
      </c>
      <c r="I27" s="345">
        <f>' Фінплан освоєння '!P27</f>
        <v>0</v>
      </c>
      <c r="J27" s="258">
        <f t="shared" si="23"/>
        <v>0</v>
      </c>
      <c r="K27" s="258">
        <v>0</v>
      </c>
      <c r="L27" s="247">
        <f t="shared" si="24"/>
        <v>0</v>
      </c>
      <c r="M27" s="345">
        <f>' Фінплан освоєння '!Q27</f>
        <v>0</v>
      </c>
      <c r="N27" s="258">
        <f t="shared" si="0"/>
        <v>0</v>
      </c>
      <c r="O27" s="258"/>
      <c r="P27" s="247">
        <f t="shared" si="25"/>
        <v>0</v>
      </c>
      <c r="Q27" s="345">
        <f>' Фінплан освоєння '!R27</f>
        <v>0</v>
      </c>
      <c r="R27" s="258">
        <f t="shared" si="26"/>
        <v>0</v>
      </c>
      <c r="S27" s="258"/>
      <c r="T27" s="247">
        <f t="shared" si="27"/>
        <v>0</v>
      </c>
      <c r="U27" s="345">
        <f>' Фінплан освоєння '!S27</f>
        <v>0</v>
      </c>
      <c r="V27" s="258">
        <f t="shared" si="1"/>
        <v>0</v>
      </c>
      <c r="W27" s="258"/>
      <c r="X27" s="247">
        <f t="shared" si="28"/>
        <v>0</v>
      </c>
      <c r="Y27" s="345">
        <f>' Фінплан освоєння '!T27</f>
        <v>0</v>
      </c>
      <c r="Z27" s="258">
        <f t="shared" si="2"/>
        <v>0</v>
      </c>
      <c r="AA27" s="258">
        <f t="shared" si="29"/>
        <v>0</v>
      </c>
      <c r="AB27" s="247">
        <f t="shared" si="30"/>
        <v>0</v>
      </c>
      <c r="AC27" s="345">
        <f t="shared" si="31"/>
        <v>8056.1570000000002</v>
      </c>
      <c r="AD27" s="258">
        <f t="shared" si="32"/>
        <v>439.55002837128052</v>
      </c>
      <c r="AE27" s="258">
        <f t="shared" si="33"/>
        <v>1866.3695449224231</v>
      </c>
      <c r="AF27" s="321">
        <f t="shared" si="34"/>
        <v>5750.237426706296</v>
      </c>
      <c r="AG27" s="345">
        <f>' Фінплан освоєння '!W27</f>
        <v>0</v>
      </c>
      <c r="AH27" s="258">
        <f>SUM(AH24:AH26)</f>
        <v>1076.6228554176851</v>
      </c>
      <c r="AI27" s="258">
        <f>SUM(AI24:AI26)</f>
        <v>353.91419820434896</v>
      </c>
      <c r="AJ27" s="345">
        <f>' Фінплан освоєння '!Z27</f>
        <v>0</v>
      </c>
      <c r="AK27" s="258">
        <f>SUM(AK24:AK26)</f>
        <v>1068.5117277479726</v>
      </c>
      <c r="AL27" s="258">
        <f>SUM(AL24:AL26)</f>
        <v>362.02532587406137</v>
      </c>
      <c r="AM27" s="345">
        <f>' Фінплан освоєння '!AC27</f>
        <v>0</v>
      </c>
      <c r="AN27" s="258">
        <f>SUM(AN24:AN26)</f>
        <v>1068.5117277479726</v>
      </c>
      <c r="AO27" s="258">
        <f>SUM(AO24:AO26)</f>
        <v>362.02532587406137</v>
      </c>
      <c r="AP27" s="345">
        <f>' Фінплан освоєння '!AF27</f>
        <v>0</v>
      </c>
      <c r="AQ27" s="258">
        <f>SUM(AQ24:AQ26)</f>
        <v>1007.979484525325</v>
      </c>
      <c r="AR27" s="258">
        <f>SUM(AR24:AR26)</f>
        <v>450.57754047478829</v>
      </c>
      <c r="AS27" s="235">
        <f t="shared" si="8"/>
        <v>1866.3695449224231</v>
      </c>
      <c r="AT27" s="248">
        <f t="shared" si="9"/>
        <v>1866.2988164652286</v>
      </c>
      <c r="AU27" s="248">
        <f t="shared" si="10"/>
        <v>0</v>
      </c>
      <c r="AV27" s="248">
        <f t="shared" si="11"/>
        <v>0</v>
      </c>
      <c r="AW27" s="248">
        <f t="shared" si="12"/>
        <v>0</v>
      </c>
      <c r="AX27" s="248">
        <f t="shared" si="13"/>
        <v>0</v>
      </c>
      <c r="AY27" s="248">
        <f t="shared" si="14"/>
        <v>0</v>
      </c>
      <c r="AZ27" s="248">
        <f t="shared" si="38"/>
        <v>1866.2988164652286</v>
      </c>
      <c r="BA27" s="258">
        <f t="shared" ref="BA27" si="55">SUM(BA25:BA26)</f>
        <v>0</v>
      </c>
      <c r="BB27" s="258">
        <f t="shared" ref="BB27" si="56">SUM(BB25:BB26)</f>
        <v>0</v>
      </c>
      <c r="BC27" s="258">
        <f t="shared" ref="BC27" si="57">SUM(BC25:BC26)</f>
        <v>-4.0320997184265212E-2</v>
      </c>
      <c r="BD27" s="258">
        <f t="shared" ref="BD27" si="58">SUM(BD25:BD26)</f>
        <v>1314.5221664382698</v>
      </c>
      <c r="BE27" s="320" t="e">
        <f>SUM(AT27:BD27)+SUM(#REF!)-AS27</f>
        <v>#REF!</v>
      </c>
      <c r="BF27" s="238">
        <v>0</v>
      </c>
      <c r="BG27" s="238">
        <v>8056.1570000000002</v>
      </c>
      <c r="BH27" s="238">
        <v>0</v>
      </c>
      <c r="BI27" s="238">
        <v>0</v>
      </c>
      <c r="BJ27" s="238">
        <v>0</v>
      </c>
      <c r="BK27" s="238">
        <v>0</v>
      </c>
      <c r="BL27" s="238">
        <v>0</v>
      </c>
      <c r="BM27" s="238">
        <f t="shared" si="39"/>
        <v>1528.54239042726</v>
      </c>
      <c r="BN27" s="238"/>
      <c r="BO27" s="238"/>
      <c r="BP27" s="238">
        <f t="shared" si="19"/>
        <v>-8.7759159919642116E-2</v>
      </c>
    </row>
    <row r="28" spans="1:68" ht="29.25" x14ac:dyDescent="0.25">
      <c r="A28" s="233" t="s">
        <v>151</v>
      </c>
      <c r="B28" s="241" t="s">
        <v>152</v>
      </c>
      <c r="C28" s="234"/>
      <c r="D28" s="235">
        <f t="shared" si="47"/>
        <v>0</v>
      </c>
      <c r="E28" s="344"/>
      <c r="F28" s="247">
        <f t="shared" si="21"/>
        <v>0</v>
      </c>
      <c r="G28" s="247">
        <v>0</v>
      </c>
      <c r="H28" s="247">
        <f t="shared" si="22"/>
        <v>0</v>
      </c>
      <c r="I28" s="344">
        <f>' Фінплан освоєння '!P28</f>
        <v>0</v>
      </c>
      <c r="J28" s="247">
        <f t="shared" si="23"/>
        <v>0</v>
      </c>
      <c r="K28" s="247">
        <v>0</v>
      </c>
      <c r="L28" s="247">
        <f t="shared" si="24"/>
        <v>0</v>
      </c>
      <c r="M28" s="344">
        <f>' Фінплан освоєння '!Q28</f>
        <v>0</v>
      </c>
      <c r="N28" s="247">
        <f t="shared" si="0"/>
        <v>0</v>
      </c>
      <c r="O28" s="247"/>
      <c r="P28" s="247">
        <f t="shared" si="25"/>
        <v>0</v>
      </c>
      <c r="Q28" s="344">
        <f>' Фінплан освоєння '!R28</f>
        <v>0</v>
      </c>
      <c r="R28" s="247">
        <f t="shared" si="26"/>
        <v>0</v>
      </c>
      <c r="S28" s="247"/>
      <c r="T28" s="247">
        <f t="shared" si="27"/>
        <v>0</v>
      </c>
      <c r="U28" s="344">
        <f>' Фінплан освоєння '!S28</f>
        <v>0</v>
      </c>
      <c r="V28" s="247">
        <f t="shared" si="1"/>
        <v>0</v>
      </c>
      <c r="W28" s="247"/>
      <c r="X28" s="247">
        <f t="shared" si="28"/>
        <v>0</v>
      </c>
      <c r="Y28" s="344">
        <f>' Фінплан освоєння '!T28</f>
        <v>0</v>
      </c>
      <c r="Z28" s="247">
        <f t="shared" si="2"/>
        <v>0</v>
      </c>
      <c r="AA28" s="247">
        <f t="shared" si="29"/>
        <v>0</v>
      </c>
      <c r="AB28" s="247">
        <f t="shared" si="30"/>
        <v>0</v>
      </c>
      <c r="AC28" s="344">
        <f t="shared" si="31"/>
        <v>0</v>
      </c>
      <c r="AD28" s="247">
        <f t="shared" si="32"/>
        <v>0</v>
      </c>
      <c r="AE28" s="247">
        <f t="shared" si="33"/>
        <v>0</v>
      </c>
      <c r="AF28" s="321">
        <f t="shared" si="34"/>
        <v>0</v>
      </c>
      <c r="AG28" s="344">
        <f>' Фінплан освоєння '!W28</f>
        <v>0</v>
      </c>
      <c r="AH28" s="247">
        <f t="shared" si="48"/>
        <v>0</v>
      </c>
      <c r="AI28" s="247">
        <f t="shared" si="49"/>
        <v>0</v>
      </c>
      <c r="AJ28" s="344">
        <f>' Фінплан освоєння '!Z28</f>
        <v>0</v>
      </c>
      <c r="AK28" s="247">
        <f>$AK$31*G57</f>
        <v>0</v>
      </c>
      <c r="AL28" s="247">
        <f t="shared" si="50"/>
        <v>0</v>
      </c>
      <c r="AM28" s="344">
        <f>' Фінплан освоєння '!AC28</f>
        <v>0</v>
      </c>
      <c r="AN28" s="247">
        <f t="shared" si="51"/>
        <v>0</v>
      </c>
      <c r="AO28" s="247">
        <f t="shared" si="52"/>
        <v>0</v>
      </c>
      <c r="AP28" s="344">
        <f>' Фінплан освоєння '!AF28</f>
        <v>0</v>
      </c>
      <c r="AQ28" s="247">
        <f>AP28/$Y$31*$Z$33</f>
        <v>0</v>
      </c>
      <c r="AR28" s="247">
        <f t="shared" ref="AR28" si="59">AP28/$Y$31*$AA$31</f>
        <v>0</v>
      </c>
      <c r="AS28" s="235">
        <f t="shared" si="8"/>
        <v>0</v>
      </c>
      <c r="AT28" s="248">
        <f t="shared" si="9"/>
        <v>0</v>
      </c>
      <c r="AU28" s="248">
        <f t="shared" si="10"/>
        <v>0</v>
      </c>
      <c r="AV28" s="248">
        <f t="shared" si="11"/>
        <v>0</v>
      </c>
      <c r="AW28" s="248">
        <f t="shared" si="12"/>
        <v>0</v>
      </c>
      <c r="AX28" s="248">
        <f t="shared" si="13"/>
        <v>0</v>
      </c>
      <c r="AY28" s="248">
        <f t="shared" si="14"/>
        <v>0</v>
      </c>
      <c r="AZ28" s="248">
        <f t="shared" si="38"/>
        <v>0</v>
      </c>
      <c r="BA28" s="237"/>
      <c r="BB28" s="237"/>
      <c r="BC28" s="234"/>
      <c r="BD28" s="234"/>
      <c r="BE28" s="257" t="e">
        <f>SUM(AT28:BD28)+SUM(#REF!)-AS28</f>
        <v>#REF!</v>
      </c>
      <c r="BF28" s="238"/>
      <c r="BG28" s="238"/>
      <c r="BH28" s="238"/>
      <c r="BI28" s="238"/>
      <c r="BJ28" s="238"/>
      <c r="BK28" s="238"/>
      <c r="BL28" s="238"/>
      <c r="BM28" s="238">
        <f t="shared" si="39"/>
        <v>0</v>
      </c>
      <c r="BN28" s="238"/>
      <c r="BO28" s="238"/>
      <c r="BP28" s="238">
        <f t="shared" si="19"/>
        <v>0</v>
      </c>
    </row>
    <row r="29" spans="1:68" ht="30" x14ac:dyDescent="0.25">
      <c r="A29" s="229"/>
      <c r="B29" s="246" t="s">
        <v>153</v>
      </c>
      <c r="C29" s="234">
        <v>4297</v>
      </c>
      <c r="D29" s="235">
        <f t="shared" ref="D29" si="60">AD29+AH29+AK29+AN29+AQ29</f>
        <v>4297.1156292982478</v>
      </c>
      <c r="E29" s="344">
        <f>' Фінплан освоєння '!O30</f>
        <v>0</v>
      </c>
      <c r="F29" s="247">
        <f t="shared" si="21"/>
        <v>0</v>
      </c>
      <c r="G29" s="247">
        <v>0</v>
      </c>
      <c r="H29" s="247">
        <f t="shared" si="22"/>
        <v>0</v>
      </c>
      <c r="I29" s="344">
        <f>' Фінплан освоєння '!P29</f>
        <v>0</v>
      </c>
      <c r="J29" s="247">
        <f t="shared" si="23"/>
        <v>0</v>
      </c>
      <c r="K29" s="247">
        <v>0</v>
      </c>
      <c r="L29" s="247">
        <f t="shared" si="24"/>
        <v>0</v>
      </c>
      <c r="M29" s="344">
        <f>' Фінплан освоєння '!Q29</f>
        <v>4297.4350000000004</v>
      </c>
      <c r="N29" s="247">
        <f>M29</f>
        <v>4297.4350000000004</v>
      </c>
      <c r="O29" s="247"/>
      <c r="P29" s="247">
        <f t="shared" si="25"/>
        <v>0</v>
      </c>
      <c r="Q29" s="344">
        <f>' Фінплан освоєння '!R29</f>
        <v>0</v>
      </c>
      <c r="R29" s="247">
        <f t="shared" si="26"/>
        <v>0</v>
      </c>
      <c r="S29" s="247"/>
      <c r="T29" s="247">
        <f t="shared" si="27"/>
        <v>0</v>
      </c>
      <c r="U29" s="344">
        <f>' Фінплан освоєння '!S29</f>
        <v>0</v>
      </c>
      <c r="V29" s="247">
        <f t="shared" si="1"/>
        <v>0</v>
      </c>
      <c r="W29" s="247"/>
      <c r="X29" s="247">
        <f t="shared" si="28"/>
        <v>0</v>
      </c>
      <c r="Y29" s="344">
        <f>' Фінплан освоєння '!T29</f>
        <v>0</v>
      </c>
      <c r="Z29" s="247">
        <f t="shared" si="2"/>
        <v>0</v>
      </c>
      <c r="AA29" s="247">
        <f t="shared" si="29"/>
        <v>0</v>
      </c>
      <c r="AB29" s="247">
        <f t="shared" si="30"/>
        <v>0</v>
      </c>
      <c r="AC29" s="344">
        <f t="shared" si="31"/>
        <v>4297.4350000000004</v>
      </c>
      <c r="AD29" s="247">
        <f t="shared" si="32"/>
        <v>4297.4350000000004</v>
      </c>
      <c r="AE29" s="247">
        <f t="shared" si="33"/>
        <v>0</v>
      </c>
      <c r="AF29" s="321">
        <f t="shared" si="34"/>
        <v>0</v>
      </c>
      <c r="AG29" s="344">
        <f>' Фінплан освоєння '!W29</f>
        <v>0</v>
      </c>
      <c r="AH29" s="247">
        <f>$AH$31*G58</f>
        <v>-8.1447720266999549E-2</v>
      </c>
      <c r="AI29" s="247">
        <f>$AI$31*G58</f>
        <v>-2.6774003978100716E-2</v>
      </c>
      <c r="AJ29" s="344">
        <f>' Фінплан освоєння '!Z29</f>
        <v>0</v>
      </c>
      <c r="AK29" s="247">
        <f>$AK$31*G58</f>
        <v>-8.0834104408699425E-2</v>
      </c>
      <c r="AL29" s="247">
        <f>$AL$31*G58</f>
        <v>-2.7387619836400839E-2</v>
      </c>
      <c r="AM29" s="344">
        <f>' Фінплан освоєння '!AC29</f>
        <v>0</v>
      </c>
      <c r="AN29" s="247">
        <f>$AN$31*G58</f>
        <v>-8.0834104408699425E-2</v>
      </c>
      <c r="AO29" s="247">
        <f>$AO$31*G58</f>
        <v>-2.7387619836400839E-2</v>
      </c>
      <c r="AP29" s="344">
        <f>' Фінплан освоєння '!AF29</f>
        <v>0</v>
      </c>
      <c r="AQ29" s="247">
        <f t="shared" ref="AQ29" si="61">$AQ$31*G58</f>
        <v>-7.6254772669341678E-2</v>
      </c>
      <c r="AR29" s="247">
        <f t="shared" ref="AR29" si="62">$AR$31*G58</f>
        <v>-3.4086693674123904E-2</v>
      </c>
      <c r="AS29" s="235">
        <f t="shared" si="8"/>
        <v>0</v>
      </c>
      <c r="AT29" s="248">
        <f t="shared" si="9"/>
        <v>0</v>
      </c>
      <c r="AU29" s="248">
        <f t="shared" si="10"/>
        <v>0</v>
      </c>
      <c r="AV29" s="248">
        <f t="shared" si="11"/>
        <v>2258.0299040000009</v>
      </c>
      <c r="AW29" s="248">
        <f t="shared" si="12"/>
        <v>0</v>
      </c>
      <c r="AX29" s="248">
        <f t="shared" si="13"/>
        <v>0</v>
      </c>
      <c r="AY29" s="248">
        <f t="shared" si="14"/>
        <v>0</v>
      </c>
      <c r="AZ29" s="248">
        <f t="shared" si="38"/>
        <v>2258.0299040000009</v>
      </c>
      <c r="BA29" s="248">
        <f>AS29/$AS$31*$BA$33</f>
        <v>0</v>
      </c>
      <c r="BB29" s="248">
        <f>AS29/$AS$31*$BB$33</f>
        <v>0</v>
      </c>
      <c r="BC29" s="248">
        <f>AS29/$AS$31*$BC$33</f>
        <v>0</v>
      </c>
      <c r="BD29" s="248">
        <f>AS29/$AS$31*$BD$33</f>
        <v>0</v>
      </c>
      <c r="BE29" s="257" t="e">
        <f>SUM(AT29:BD29)+SUM(#REF!)-AS29</f>
        <v>#REF!</v>
      </c>
      <c r="BF29" s="238"/>
      <c r="BG29" s="238"/>
      <c r="BH29" s="238"/>
      <c r="BI29" s="238">
        <v>4297.4350000000004</v>
      </c>
      <c r="BJ29" s="238"/>
      <c r="BK29" s="238"/>
      <c r="BL29" s="238"/>
      <c r="BM29" s="238">
        <f t="shared" si="39"/>
        <v>-0.11563593732502631</v>
      </c>
      <c r="BN29" s="238"/>
      <c r="BO29" s="238"/>
      <c r="BP29" s="238">
        <f t="shared" si="19"/>
        <v>6.6390783661704478E-6</v>
      </c>
    </row>
    <row r="30" spans="1:68" x14ac:dyDescent="0.25">
      <c r="A30" s="233" t="s">
        <v>154</v>
      </c>
      <c r="B30" s="241"/>
      <c r="C30" s="237">
        <v>4297</v>
      </c>
      <c r="D30" s="235">
        <f>AD30+AH30+AK30+AN30+AQ30</f>
        <v>4297.1156292982478</v>
      </c>
      <c r="E30" s="345"/>
      <c r="F30" s="258">
        <f t="shared" si="21"/>
        <v>0</v>
      </c>
      <c r="G30" s="258">
        <v>0</v>
      </c>
      <c r="H30" s="247">
        <f t="shared" si="22"/>
        <v>0</v>
      </c>
      <c r="I30" s="345">
        <f>' Фінплан освоєння '!P30</f>
        <v>0</v>
      </c>
      <c r="J30" s="258">
        <f t="shared" si="23"/>
        <v>0</v>
      </c>
      <c r="K30" s="258">
        <v>0</v>
      </c>
      <c r="L30" s="247">
        <f t="shared" si="24"/>
        <v>0</v>
      </c>
      <c r="M30" s="345">
        <f>' Фінплан освоєння '!Q30</f>
        <v>4297.4350000000004</v>
      </c>
      <c r="N30" s="258">
        <f>N29</f>
        <v>4297.4350000000004</v>
      </c>
      <c r="O30" s="258"/>
      <c r="P30" s="247">
        <f t="shared" si="25"/>
        <v>0</v>
      </c>
      <c r="Q30" s="345">
        <f>' Фінплан освоєння '!R30</f>
        <v>0</v>
      </c>
      <c r="R30" s="258">
        <f t="shared" si="26"/>
        <v>0</v>
      </c>
      <c r="S30" s="258"/>
      <c r="T30" s="247">
        <f t="shared" si="27"/>
        <v>0</v>
      </c>
      <c r="U30" s="345">
        <f>' Фінплан освоєння '!S30</f>
        <v>0</v>
      </c>
      <c r="V30" s="258">
        <f t="shared" si="1"/>
        <v>0</v>
      </c>
      <c r="W30" s="258"/>
      <c r="X30" s="247">
        <f t="shared" si="28"/>
        <v>0</v>
      </c>
      <c r="Y30" s="345">
        <f>' Фінплан освоєння '!T30</f>
        <v>0</v>
      </c>
      <c r="Z30" s="258">
        <f t="shared" si="2"/>
        <v>0</v>
      </c>
      <c r="AA30" s="258">
        <f t="shared" si="29"/>
        <v>0</v>
      </c>
      <c r="AB30" s="247">
        <f t="shared" si="30"/>
        <v>0</v>
      </c>
      <c r="AC30" s="345">
        <f t="shared" si="31"/>
        <v>4297.4350000000004</v>
      </c>
      <c r="AD30" s="258">
        <f t="shared" si="32"/>
        <v>4297.4350000000004</v>
      </c>
      <c r="AE30" s="258">
        <f t="shared" si="33"/>
        <v>0</v>
      </c>
      <c r="AF30" s="321">
        <f t="shared" si="34"/>
        <v>0</v>
      </c>
      <c r="AG30" s="345">
        <f>' Фінплан освоєння '!W30</f>
        <v>0</v>
      </c>
      <c r="AH30" s="258">
        <f>AH29</f>
        <v>-8.1447720266999549E-2</v>
      </c>
      <c r="AI30" s="258">
        <f>AI29</f>
        <v>-2.6774003978100716E-2</v>
      </c>
      <c r="AJ30" s="345">
        <f>' Фінплан освоєння '!Z30</f>
        <v>0</v>
      </c>
      <c r="AK30" s="258">
        <f>AK29</f>
        <v>-8.0834104408699425E-2</v>
      </c>
      <c r="AL30" s="258">
        <f>AL29</f>
        <v>-2.7387619836400839E-2</v>
      </c>
      <c r="AM30" s="345">
        <f>' Фінплан освоєння '!AC30</f>
        <v>0</v>
      </c>
      <c r="AN30" s="258">
        <f>AN29</f>
        <v>-8.0834104408699425E-2</v>
      </c>
      <c r="AO30" s="258">
        <f>AO29</f>
        <v>-2.7387619836400839E-2</v>
      </c>
      <c r="AP30" s="345">
        <f>' Фінплан освоєння '!AF30</f>
        <v>0</v>
      </c>
      <c r="AQ30" s="258">
        <f>AQ29</f>
        <v>-7.6254772669341678E-2</v>
      </c>
      <c r="AR30" s="258">
        <f>AR29</f>
        <v>-3.4086693674123904E-2</v>
      </c>
      <c r="AS30" s="235">
        <f t="shared" si="8"/>
        <v>0</v>
      </c>
      <c r="AT30" s="248">
        <f t="shared" si="9"/>
        <v>0</v>
      </c>
      <c r="AU30" s="248">
        <f t="shared" si="10"/>
        <v>0</v>
      </c>
      <c r="AV30" s="248">
        <f t="shared" si="11"/>
        <v>2258.0299040000009</v>
      </c>
      <c r="AW30" s="248">
        <f t="shared" si="12"/>
        <v>0</v>
      </c>
      <c r="AX30" s="248">
        <f t="shared" si="13"/>
        <v>0</v>
      </c>
      <c r="AY30" s="248">
        <f t="shared" si="14"/>
        <v>0</v>
      </c>
      <c r="AZ30" s="248">
        <f t="shared" si="38"/>
        <v>2258.0299040000009</v>
      </c>
      <c r="BA30" s="258">
        <f t="shared" ref="BA30" si="63">BA29</f>
        <v>0</v>
      </c>
      <c r="BB30" s="258">
        <f t="shared" ref="BB30" si="64">BB29</f>
        <v>0</v>
      </c>
      <c r="BC30" s="258">
        <f t="shared" ref="BC30" si="65">BC29</f>
        <v>0</v>
      </c>
      <c r="BD30" s="258">
        <f t="shared" ref="BD30" si="66">BD29</f>
        <v>0</v>
      </c>
      <c r="BE30" s="320" t="e">
        <f>SUM(AT30:BD30)+SUM(#REF!)-AS30</f>
        <v>#REF!</v>
      </c>
      <c r="BF30" s="238">
        <v>0</v>
      </c>
      <c r="BG30" s="238">
        <v>0</v>
      </c>
      <c r="BH30" s="238">
        <v>0</v>
      </c>
      <c r="BI30" s="238">
        <v>4297.4350000000004</v>
      </c>
      <c r="BJ30" s="238">
        <v>0</v>
      </c>
      <c r="BK30" s="238">
        <v>0</v>
      </c>
      <c r="BL30" s="238">
        <v>0</v>
      </c>
      <c r="BM30" s="238">
        <f t="shared" si="39"/>
        <v>-0.11563593732502631</v>
      </c>
      <c r="BN30" s="238"/>
      <c r="BO30" s="238"/>
    </row>
    <row r="31" spans="1:68" x14ac:dyDescent="0.25">
      <c r="A31" s="233" t="s">
        <v>155</v>
      </c>
      <c r="B31" s="241"/>
      <c r="C31" s="258">
        <v>78349</v>
      </c>
      <c r="D31" s="239">
        <f>' розрах Аморт ОЗ створ15'!C22</f>
        <v>4297.4350000000004</v>
      </c>
      <c r="E31" s="345">
        <f>E23+E27+E30</f>
        <v>28684.035</v>
      </c>
      <c r="F31" s="258">
        <f>F23+F27+F30</f>
        <v>1565.0226774444445</v>
      </c>
      <c r="G31" s="258">
        <v>6645.229151999999</v>
      </c>
      <c r="H31" s="247">
        <f t="shared" si="22"/>
        <v>20473.783170555555</v>
      </c>
      <c r="I31" s="345">
        <f>' Фінплан освоєння '!P31</f>
        <v>14236.846000000001</v>
      </c>
      <c r="J31" s="258">
        <f t="shared" ref="J31:V31" si="67">J23+J27+J30</f>
        <v>4537.5904833333334</v>
      </c>
      <c r="K31" s="258">
        <v>3672.6613461111101</v>
      </c>
      <c r="L31" s="247">
        <f t="shared" si="24"/>
        <v>6026.5941705555579</v>
      </c>
      <c r="M31" s="345">
        <f>' Фінплан освоєння '!Q31</f>
        <v>4297.4350000000004</v>
      </c>
      <c r="N31" s="258">
        <f t="shared" si="67"/>
        <v>4297.4350000000004</v>
      </c>
      <c r="O31" s="258"/>
      <c r="P31" s="247">
        <f t="shared" si="25"/>
        <v>0</v>
      </c>
      <c r="Q31" s="345">
        <f>' Фінплан освоєння '!R31</f>
        <v>13062.538</v>
      </c>
      <c r="R31" s="258">
        <f>N35</f>
        <v>8210</v>
      </c>
      <c r="S31" s="258"/>
      <c r="T31" s="247">
        <f t="shared" si="27"/>
        <v>4852.5380000000005</v>
      </c>
      <c r="U31" s="345">
        <f>' Фінплан освоєння '!S31</f>
        <v>10228.357</v>
      </c>
      <c r="V31" s="258">
        <f t="shared" si="67"/>
        <v>8210.2518294444435</v>
      </c>
      <c r="W31" s="258"/>
      <c r="X31" s="247">
        <f t="shared" si="28"/>
        <v>2018.1051705555565</v>
      </c>
      <c r="Y31" s="345">
        <f>' Фінплан освоєння '!T31</f>
        <v>7840.0129999999999</v>
      </c>
      <c r="Z31" s="258">
        <f>Z33+N37-N38</f>
        <v>6871.263964888888</v>
      </c>
      <c r="AA31" s="319">
        <f>Z35-Z31</f>
        <v>1338.736035111112</v>
      </c>
      <c r="AB31" s="247">
        <f t="shared" si="30"/>
        <v>-369.98700000000008</v>
      </c>
      <c r="AC31" s="345">
        <f t="shared" si="31"/>
        <v>78349.224000000002</v>
      </c>
      <c r="AD31" s="258">
        <f t="shared" si="32"/>
        <v>33691.563955111109</v>
      </c>
      <c r="AE31" s="258">
        <f t="shared" si="33"/>
        <v>11656.626533222221</v>
      </c>
      <c r="AF31" s="321">
        <f t="shared" si="34"/>
        <v>33001.033511666668</v>
      </c>
      <c r="AG31" s="345">
        <f>' Фінплан освоєння '!W31</f>
        <v>0</v>
      </c>
      <c r="AH31" s="258">
        <f>AH33</f>
        <v>6178.849838666667</v>
      </c>
      <c r="AI31" s="319">
        <f>AH35-AH31</f>
        <v>2031.150161333333</v>
      </c>
      <c r="AJ31" s="345">
        <f>' Фінплан освоєння '!Z31</f>
        <v>0</v>
      </c>
      <c r="AK31" s="258">
        <f>AK33+V37-V38</f>
        <v>6132.2992386666665</v>
      </c>
      <c r="AL31" s="319">
        <f>AK35-AK31</f>
        <v>2077.7007613333335</v>
      </c>
      <c r="AM31" s="345">
        <f>' Фінплан освоєння '!AC31</f>
        <v>0</v>
      </c>
      <c r="AN31" s="258">
        <f>AN33</f>
        <v>6132.2992386666665</v>
      </c>
      <c r="AO31" s="319">
        <f>AN35-AN31</f>
        <v>2077.7007613333335</v>
      </c>
      <c r="AP31" s="345">
        <f>' Фінплан освоєння '!AF31</f>
        <v>0</v>
      </c>
      <c r="AQ31" s="258">
        <f>AQ33+AH37-AH38</f>
        <v>5784.8984386666671</v>
      </c>
      <c r="AR31" s="319">
        <f>AQ35-AQ31</f>
        <v>2585.9110729999993</v>
      </c>
      <c r="AS31" s="239">
        <f>AS23+AS27+AS30</f>
        <v>11656.626533222223</v>
      </c>
      <c r="AT31" s="237">
        <f t="shared" ref="AT31:AV31" si="68">AT23+AT27+AT30</f>
        <v>6644.9773225555555</v>
      </c>
      <c r="AU31" s="237">
        <f t="shared" si="68"/>
        <v>3672.4095166666666</v>
      </c>
      <c r="AV31" s="237">
        <f t="shared" si="68"/>
        <v>2258.0299040000009</v>
      </c>
      <c r="AW31" s="237">
        <f t="shared" ref="AW31" si="69">AW23+AW27+AW30</f>
        <v>372.87536933333286</v>
      </c>
      <c r="AX31" s="237">
        <f t="shared" ref="AX31" si="70">AX23+AX27+AX30</f>
        <v>-0.25182944444350142</v>
      </c>
      <c r="AY31" s="237">
        <f t="shared" ref="AY31" si="71">AY23+AY27+AY30</f>
        <v>2620.2711311111107</v>
      </c>
      <c r="AZ31" s="248">
        <f t="shared" si="38"/>
        <v>15568.311414222222</v>
      </c>
      <c r="BA31" s="237">
        <f t="shared" ref="BA31" si="72">BA23+BA27+BA30</f>
        <v>0</v>
      </c>
      <c r="BB31" s="237">
        <f t="shared" ref="BB31" si="73">BB23+BB27+BB30</f>
        <v>0</v>
      </c>
      <c r="BC31" s="237">
        <f t="shared" ref="BC31" si="74">BC23+BC27+BC30</f>
        <v>-0.25182944444350136</v>
      </c>
      <c r="BD31" s="237">
        <f t="shared" ref="BD31" si="75">BD23+BD27+BD30</f>
        <v>8210</v>
      </c>
      <c r="BE31" s="320" t="e">
        <f>SUM(AT31:BD31)+SUM(#REF!)-AS31</f>
        <v>#REF!</v>
      </c>
      <c r="BF31" s="238">
        <v>5906.616</v>
      </c>
      <c r="BG31" s="238">
        <v>22777.419000000002</v>
      </c>
      <c r="BH31" s="238">
        <v>14236.846000000001</v>
      </c>
      <c r="BI31" s="238">
        <v>4297.4350000000004</v>
      </c>
      <c r="BJ31" s="238">
        <v>13062.538</v>
      </c>
      <c r="BK31" s="238">
        <v>10228.357</v>
      </c>
      <c r="BL31" s="238">
        <v>7840.0129999999999</v>
      </c>
      <c r="BM31" s="238">
        <f t="shared" si="39"/>
        <v>8772.4627569999993</v>
      </c>
      <c r="BN31" s="238">
        <f>AI31+AL31+AO31+AR31</f>
        <v>8772.4627569999993</v>
      </c>
      <c r="BO31" s="238">
        <f>AE31+BN31</f>
        <v>20429.089290222219</v>
      </c>
    </row>
    <row r="32" spans="1:68" x14ac:dyDescent="0.25">
      <c r="A32" s="229"/>
      <c r="B32" s="230" t="s">
        <v>450</v>
      </c>
      <c r="C32" s="237"/>
      <c r="D32" s="239">
        <f>' розрах Аморт ОЗ створ15'!C26</f>
        <v>57920.035340444447</v>
      </c>
      <c r="E32" s="344"/>
      <c r="F32" s="247"/>
      <c r="G32" s="247"/>
      <c r="H32" s="247">
        <f t="shared" si="22"/>
        <v>0</v>
      </c>
      <c r="I32" s="344"/>
      <c r="J32" s="247"/>
      <c r="K32" s="247"/>
      <c r="L32" s="247"/>
      <c r="M32" s="344">
        <f>' Фінплан освоєння '!Q32</f>
        <v>0</v>
      </c>
      <c r="N32" s="247"/>
      <c r="O32" s="247"/>
      <c r="P32" s="247">
        <f t="shared" si="25"/>
        <v>0</v>
      </c>
      <c r="Q32" s="344"/>
      <c r="R32" s="247"/>
      <c r="S32" s="247"/>
      <c r="T32" s="247"/>
      <c r="U32" s="344"/>
      <c r="V32" s="247"/>
      <c r="W32" s="247"/>
      <c r="X32" s="247">
        <f t="shared" si="28"/>
        <v>0</v>
      </c>
      <c r="Y32" s="344"/>
      <c r="Z32" s="247"/>
      <c r="AA32" s="247"/>
      <c r="AB32" s="247">
        <f t="shared" si="30"/>
        <v>0</v>
      </c>
      <c r="AC32" s="344"/>
      <c r="AD32" s="247"/>
      <c r="AE32" s="247"/>
      <c r="AF32" s="321"/>
      <c r="AG32" s="344"/>
      <c r="AH32" s="247"/>
      <c r="AI32" s="247"/>
      <c r="AJ32" s="344"/>
      <c r="AK32" s="247"/>
      <c r="AL32" s="247"/>
      <c r="AM32" s="344"/>
      <c r="AN32" s="247"/>
      <c r="AO32" s="247"/>
      <c r="AP32" s="344"/>
      <c r="AQ32" s="247"/>
      <c r="AR32" s="247"/>
      <c r="AS32" s="236"/>
      <c r="AT32" s="237"/>
      <c r="AU32" s="237"/>
      <c r="AV32" s="237"/>
      <c r="AW32" s="237"/>
      <c r="AX32" s="237"/>
      <c r="AY32" s="237"/>
      <c r="AZ32" s="248">
        <f t="shared" si="38"/>
        <v>0</v>
      </c>
      <c r="BA32" s="237"/>
      <c r="BB32" s="237"/>
      <c r="BC32" s="234"/>
      <c r="BD32" s="234"/>
      <c r="BE32" s="259" t="e">
        <f>SUM(AT32:BD32)+SUM(#REF!)-AS32</f>
        <v>#REF!</v>
      </c>
      <c r="BF32" s="238"/>
      <c r="BG32" s="238"/>
      <c r="BH32" s="238"/>
      <c r="BI32" s="238"/>
      <c r="BJ32" s="238"/>
      <c r="BK32" s="238"/>
      <c r="BL32" s="238"/>
      <c r="BM32" s="238">
        <f t="shared" si="39"/>
        <v>0</v>
      </c>
      <c r="BN32" s="238"/>
      <c r="BO32" s="238"/>
    </row>
    <row r="33" spans="1:67" x14ac:dyDescent="0.25">
      <c r="A33" s="660"/>
      <c r="B33" s="356" t="s">
        <v>451</v>
      </c>
      <c r="C33" s="229"/>
      <c r="D33" s="357"/>
      <c r="E33" s="346"/>
      <c r="F33" s="341">
        <f>' розрах Аморт ОЗ створ15'!F26</f>
        <v>1565.0226774444445</v>
      </c>
      <c r="G33" s="341">
        <f>G31</f>
        <v>6645.229151999999</v>
      </c>
      <c r="H33" s="247"/>
      <c r="I33" s="346"/>
      <c r="J33" s="341">
        <f>' розрах Аморт ОЗ створ15'!G26</f>
        <v>4537.5904833333334</v>
      </c>
      <c r="K33" s="341">
        <f>J35-J33</f>
        <v>3672.4095166666666</v>
      </c>
      <c r="L33" s="341"/>
      <c r="M33" s="346"/>
      <c r="N33" s="341">
        <f>' розрах Аморт ОЗ створ15'!H26</f>
        <v>5951.9700959999991</v>
      </c>
      <c r="O33" s="341"/>
      <c r="P33" s="247"/>
      <c r="Q33" s="346"/>
      <c r="R33" s="341">
        <f>' розрах Аморт ОЗ створ15'!I26</f>
        <v>7837.1246306666671</v>
      </c>
      <c r="S33" s="341"/>
      <c r="T33" s="341"/>
      <c r="U33" s="346"/>
      <c r="V33" s="341">
        <f>' розрах Аморт ОЗ створ15'!J26</f>
        <v>8210.2518294444435</v>
      </c>
      <c r="W33" s="341"/>
      <c r="X33" s="247"/>
      <c r="Y33" s="346"/>
      <c r="Z33" s="341">
        <f>' розрах Аморт ОЗ створ15'!K26</f>
        <v>5589.7288688888893</v>
      </c>
      <c r="AA33" s="341"/>
      <c r="AB33" s="247">
        <f t="shared" si="30"/>
        <v>-5589.7288688888893</v>
      </c>
      <c r="AC33" s="346"/>
      <c r="AD33" s="341"/>
      <c r="AE33" s="341"/>
      <c r="AF33" s="341"/>
      <c r="AG33" s="346"/>
      <c r="AH33" s="341">
        <f>' розрах Аморт ОЗ створ15'!L26</f>
        <v>6178.849838666667</v>
      </c>
      <c r="AI33" s="341"/>
      <c r="AJ33" s="346"/>
      <c r="AK33" s="341">
        <f>' розрах Аморт ОЗ створ15'!M26</f>
        <v>6132.2992386666665</v>
      </c>
      <c r="AL33" s="341"/>
      <c r="AM33" s="346"/>
      <c r="AN33" s="341">
        <f>' розрах Аморт ОЗ створ15'!N26</f>
        <v>6132.2992386666665</v>
      </c>
      <c r="AO33" s="341"/>
      <c r="AP33" s="346"/>
      <c r="AQ33" s="341">
        <f>' розрах Аморт ОЗ створ15'!O26</f>
        <v>5784.8984386666671</v>
      </c>
      <c r="AR33" s="341"/>
      <c r="AS33" s="236">
        <f>AS31</f>
        <v>11656.626533222223</v>
      </c>
      <c r="AT33" s="235">
        <f>$C$35-F33</f>
        <v>6644.9773225555555</v>
      </c>
      <c r="AU33" s="235">
        <f>$C$35-J33</f>
        <v>3672.4095166666666</v>
      </c>
      <c r="AV33" s="235">
        <f>$C$35-N33</f>
        <v>2258.0299040000009</v>
      </c>
      <c r="AW33" s="235">
        <f>$C$35-R33</f>
        <v>372.87536933333286</v>
      </c>
      <c r="AX33" s="235">
        <f>$C$35-V33</f>
        <v>-0.25182944444350142</v>
      </c>
      <c r="AY33" s="235">
        <f>$C$35-Z33</f>
        <v>2620.2711311111107</v>
      </c>
      <c r="AZ33" s="248">
        <f t="shared" si="38"/>
        <v>15568.311414222222</v>
      </c>
      <c r="BA33" s="235"/>
      <c r="BB33" s="235"/>
      <c r="BC33" s="235">
        <f>$C$35-V33</f>
        <v>-0.25182944444350142</v>
      </c>
      <c r="BD33" s="235">
        <f>$C$35-Y33</f>
        <v>8210</v>
      </c>
      <c r="BE33" s="260"/>
      <c r="BF33" s="238"/>
      <c r="BG33" s="238">
        <v>1142804.3333333335</v>
      </c>
      <c r="BH33" s="238">
        <v>1443154.6</v>
      </c>
      <c r="BI33" s="238">
        <v>1772652.4000000001</v>
      </c>
      <c r="BJ33" s="238">
        <v>1641501.2500000002</v>
      </c>
      <c r="BK33" s="238">
        <v>1658887.2</v>
      </c>
      <c r="BL33" s="238">
        <v>1687872.7</v>
      </c>
      <c r="BM33" s="238">
        <f t="shared" si="39"/>
        <v>0</v>
      </c>
      <c r="BN33" s="238"/>
      <c r="BO33" s="238"/>
    </row>
    <row r="34" spans="1:67" x14ac:dyDescent="0.25">
      <c r="A34" s="660"/>
      <c r="B34" s="356"/>
      <c r="C34" s="234"/>
      <c r="D34" s="357"/>
      <c r="E34" s="346"/>
      <c r="F34" s="664">
        <f>F33+J33+N33+R33+V33+Z33</f>
        <v>33691.688585777774</v>
      </c>
      <c r="G34" s="664"/>
      <c r="H34" s="664"/>
      <c r="I34" s="664"/>
      <c r="J34" s="665"/>
      <c r="K34" s="665"/>
      <c r="L34" s="665"/>
      <c r="M34" s="665"/>
      <c r="N34" s="665"/>
      <c r="O34" s="665"/>
      <c r="P34" s="665"/>
      <c r="Q34" s="665"/>
      <c r="R34" s="665"/>
      <c r="S34" s="665"/>
      <c r="T34" s="665"/>
      <c r="U34" s="665"/>
      <c r="V34" s="665"/>
      <c r="W34" s="665"/>
      <c r="X34" s="665"/>
      <c r="Y34" s="665"/>
      <c r="Z34" s="665"/>
      <c r="AA34" s="652">
        <v>24228</v>
      </c>
      <c r="AB34" s="653"/>
      <c r="AC34" s="654"/>
      <c r="AD34" s="654"/>
      <c r="AE34" s="654"/>
      <c r="AF34" s="654"/>
      <c r="AG34" s="654"/>
      <c r="AH34" s="654"/>
      <c r="AI34" s="654"/>
      <c r="AJ34" s="654"/>
      <c r="AK34" s="654"/>
      <c r="AL34" s="654"/>
      <c r="AM34" s="654"/>
      <c r="AN34" s="654"/>
      <c r="AO34" s="654"/>
      <c r="AP34" s="654"/>
      <c r="AQ34" s="654"/>
      <c r="AR34" s="655"/>
      <c r="AS34" s="235"/>
      <c r="AT34" s="652">
        <f>SUM(AT33:BD33)</f>
        <v>39346.370998999999</v>
      </c>
      <c r="AU34" s="653"/>
      <c r="AV34" s="653"/>
      <c r="AW34" s="653"/>
      <c r="AX34" s="653"/>
      <c r="AY34" s="653"/>
      <c r="AZ34" s="653"/>
      <c r="BA34" s="653"/>
      <c r="BB34" s="653"/>
      <c r="BC34" s="653"/>
      <c r="BD34" s="668"/>
      <c r="BE34" s="261"/>
      <c r="BF34" s="238"/>
      <c r="BG34" s="238"/>
      <c r="BH34" s="238"/>
      <c r="BI34" s="238"/>
      <c r="BJ34" s="238"/>
      <c r="BK34" s="238"/>
      <c r="BL34" s="238"/>
      <c r="BM34" s="238">
        <f>BM23+BM27+BM31</f>
        <v>17545.175037449295</v>
      </c>
      <c r="BN34" s="238"/>
      <c r="BO34" s="238"/>
    </row>
    <row r="35" spans="1:67" ht="28.5" x14ac:dyDescent="0.25">
      <c r="B35" s="356" t="s">
        <v>463</v>
      </c>
      <c r="C35" s="238">
        <v>8210</v>
      </c>
      <c r="F35" s="238">
        <f>F33+AT33</f>
        <v>8210</v>
      </c>
      <c r="G35" s="238"/>
      <c r="H35" s="238"/>
      <c r="I35" s="238"/>
      <c r="J35" s="238">
        <f>J33+AU33</f>
        <v>8210</v>
      </c>
      <c r="K35" s="238"/>
      <c r="L35" s="238"/>
      <c r="M35" s="238"/>
      <c r="N35" s="238">
        <f>N33+AV33</f>
        <v>8210</v>
      </c>
      <c r="O35" s="238"/>
      <c r="P35" s="238"/>
      <c r="Q35" s="238"/>
      <c r="R35" s="238">
        <f>R33+AW33</f>
        <v>8210</v>
      </c>
      <c r="S35" s="238"/>
      <c r="T35" s="238"/>
      <c r="U35" s="238"/>
      <c r="V35" s="238">
        <f>V33+AX33</f>
        <v>8210</v>
      </c>
      <c r="W35" s="238"/>
      <c r="X35" s="238"/>
      <c r="Y35" s="238"/>
      <c r="Z35" s="238">
        <f>Z33+AY33</f>
        <v>8210</v>
      </c>
      <c r="AA35" s="238"/>
      <c r="AB35" s="238"/>
      <c r="AC35" s="238"/>
      <c r="AD35" s="238"/>
      <c r="AE35" s="238"/>
      <c r="AF35" s="238"/>
      <c r="AG35" s="238"/>
      <c r="AH35" s="238">
        <v>8210</v>
      </c>
      <c r="AI35" s="238"/>
      <c r="AJ35" s="238"/>
      <c r="AK35" s="238">
        <v>8210</v>
      </c>
      <c r="AL35" s="238"/>
      <c r="AM35" s="238"/>
      <c r="AN35" s="238">
        <v>8210</v>
      </c>
      <c r="AO35" s="238"/>
      <c r="AP35" s="238"/>
      <c r="AQ35" s="238">
        <f>C31-AD31-AE31-AH31-AI31-AK31-AL31-AN31-AO31</f>
        <v>8370.8095116666664</v>
      </c>
      <c r="AR35" s="238"/>
      <c r="BN35" s="238">
        <f>BN33-BN31</f>
        <v>-8772.4627569999993</v>
      </c>
    </row>
    <row r="36" spans="1:67" ht="15" customHeight="1" x14ac:dyDescent="0.25">
      <c r="B36" s="222"/>
      <c r="C36" s="354"/>
      <c r="D36" s="238"/>
      <c r="AQ36" s="238">
        <f>AF31-AH35-AK35-AN35</f>
        <v>8371.0335116666683</v>
      </c>
      <c r="AU36" s="648" t="s">
        <v>367</v>
      </c>
      <c r="AV36" s="648"/>
      <c r="AW36" s="648"/>
      <c r="AX36" s="648"/>
      <c r="AY36" s="648"/>
      <c r="AZ36" s="295"/>
    </row>
    <row r="37" spans="1:67" ht="15" customHeight="1" x14ac:dyDescent="0.25">
      <c r="B37" s="358" t="s">
        <v>454</v>
      </c>
      <c r="C37" s="364"/>
      <c r="D37" s="360"/>
      <c r="E37" s="359"/>
      <c r="F37" s="359"/>
      <c r="G37" s="359"/>
      <c r="H37" s="359"/>
      <c r="I37" s="359"/>
      <c r="J37" s="359"/>
      <c r="K37" s="359"/>
      <c r="L37" s="359"/>
      <c r="M37" s="359"/>
      <c r="N37" s="360">
        <f>N33-N31</f>
        <v>1654.5350959999987</v>
      </c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65"/>
      <c r="AU37" s="563" t="s">
        <v>284</v>
      </c>
      <c r="AV37" s="563"/>
      <c r="AW37" s="563"/>
      <c r="AX37" s="563"/>
      <c r="AY37" s="563"/>
      <c r="AZ37" s="294"/>
    </row>
    <row r="38" spans="1:67" ht="52.5" customHeight="1" x14ac:dyDescent="0.25">
      <c r="B38" s="361" t="s">
        <v>530</v>
      </c>
      <c r="C38" s="362"/>
      <c r="D38" s="363"/>
      <c r="E38" s="363"/>
      <c r="F38" s="363"/>
      <c r="G38" s="363"/>
      <c r="H38" s="363"/>
      <c r="I38" s="363"/>
      <c r="J38" s="363"/>
      <c r="K38" s="363"/>
      <c r="L38" s="363"/>
      <c r="M38" s="366"/>
      <c r="N38" s="367">
        <v>373</v>
      </c>
      <c r="O38" s="363"/>
      <c r="P38" s="363"/>
      <c r="Q38" s="366" t="s">
        <v>452</v>
      </c>
      <c r="R38" s="367">
        <v>373</v>
      </c>
      <c r="S38" s="363"/>
      <c r="T38" s="363"/>
      <c r="U38" s="363"/>
      <c r="V38" s="363"/>
      <c r="W38" s="363"/>
      <c r="X38" s="363"/>
      <c r="Y38" s="366" t="s">
        <v>453</v>
      </c>
      <c r="Z38" s="368">
        <f>Z31-Z33</f>
        <v>1281.5350959999987</v>
      </c>
      <c r="AE38" s="238">
        <f>G16+K16+O16+S16+W16+AA16</f>
        <v>6199.6590521072458</v>
      </c>
      <c r="AF38" s="238"/>
      <c r="AJ38" s="238">
        <f>AF31-AA34</f>
        <v>8773.0335116666683</v>
      </c>
      <c r="AU38" s="649" t="s">
        <v>367</v>
      </c>
      <c r="AV38" s="649"/>
      <c r="AW38" s="649"/>
      <c r="AX38" s="649"/>
      <c r="AY38" s="649"/>
      <c r="AZ38" s="296"/>
    </row>
    <row r="39" spans="1:67" ht="15" customHeight="1" x14ac:dyDescent="0.25">
      <c r="B39" s="222"/>
      <c r="C39" s="222"/>
      <c r="AU39" s="563" t="s">
        <v>284</v>
      </c>
      <c r="AV39" s="563"/>
      <c r="AW39" s="563"/>
      <c r="AX39" s="563"/>
      <c r="AY39" s="563"/>
      <c r="AZ39" s="294"/>
    </row>
    <row r="40" spans="1:67" ht="15" customHeight="1" x14ac:dyDescent="0.25">
      <c r="B40" s="222"/>
      <c r="C40" s="222"/>
      <c r="AU40" s="649" t="s">
        <v>367</v>
      </c>
      <c r="AV40" s="649"/>
      <c r="AW40" s="649"/>
      <c r="AX40" s="649"/>
      <c r="AY40" s="649"/>
      <c r="AZ40" s="296"/>
    </row>
    <row r="41" spans="1:67" ht="15" customHeight="1" x14ac:dyDescent="0.25">
      <c r="B41" s="355"/>
      <c r="C41" s="355"/>
      <c r="S41" s="238"/>
      <c r="T41" s="238"/>
      <c r="AU41" s="563" t="s">
        <v>284</v>
      </c>
      <c r="AV41" s="563"/>
      <c r="AW41" s="563"/>
      <c r="AX41" s="563"/>
      <c r="AY41" s="563"/>
      <c r="AZ41" s="294"/>
    </row>
    <row r="42" spans="1:67" x14ac:dyDescent="0.25">
      <c r="S42" s="238"/>
      <c r="T42" s="238"/>
    </row>
    <row r="44" spans="1:67" ht="75" x14ac:dyDescent="0.25">
      <c r="A44" s="228" t="s">
        <v>127</v>
      </c>
      <c r="B44" s="228" t="s">
        <v>128</v>
      </c>
      <c r="C44" s="351" t="s">
        <v>447</v>
      </c>
      <c r="D44" s="347" t="s">
        <v>446</v>
      </c>
      <c r="E44" s="347" t="s">
        <v>448</v>
      </c>
      <c r="F44" s="347" t="s">
        <v>449</v>
      </c>
      <c r="G44" s="347" t="s">
        <v>455</v>
      </c>
      <c r="H44" s="347"/>
      <c r="I44" s="347"/>
    </row>
    <row r="45" spans="1:67" x14ac:dyDescent="0.25">
      <c r="A45" s="228" t="s">
        <v>129</v>
      </c>
      <c r="B45" s="228" t="s">
        <v>130</v>
      </c>
      <c r="C45" s="228">
        <v>47421</v>
      </c>
      <c r="D45" s="238">
        <v>21728.604700887663</v>
      </c>
      <c r="E45" s="238">
        <v>6199.6590521072458</v>
      </c>
      <c r="F45" s="238">
        <f>C16-AD16-AE16</f>
        <v>19492.73624700509</v>
      </c>
      <c r="G45" s="352">
        <f>F45/$F$60</f>
        <v>0.59068350257015267</v>
      </c>
      <c r="H45" s="352"/>
      <c r="I45" s="353"/>
      <c r="L45" s="238"/>
      <c r="N45" s="238"/>
      <c r="O45" s="238"/>
      <c r="P45" s="238"/>
      <c r="Q45" s="238"/>
      <c r="U45" s="238"/>
    </row>
    <row r="46" spans="1:67" x14ac:dyDescent="0.25">
      <c r="A46" s="228" t="s">
        <v>131</v>
      </c>
      <c r="B46" s="228" t="s">
        <v>132</v>
      </c>
      <c r="C46" s="228">
        <v>5820</v>
      </c>
      <c r="D46" s="238">
        <v>1534.4903018176615</v>
      </c>
      <c r="E46" s="238">
        <v>1228.7159680078287</v>
      </c>
      <c r="F46" s="238">
        <f t="shared" ref="F46:F59" si="76">C46-D46-E46</f>
        <v>3056.7937301745105</v>
      </c>
      <c r="G46" s="352">
        <f t="shared" ref="G46:G58" si="77">F46/$F$60</f>
        <v>9.2629254523021537E-2</v>
      </c>
      <c r="H46" s="352"/>
      <c r="I46" s="353"/>
      <c r="L46" s="238"/>
      <c r="N46" s="238"/>
      <c r="O46" s="238"/>
      <c r="P46" s="238"/>
      <c r="Q46" s="238"/>
      <c r="R46" s="238"/>
      <c r="S46" s="238"/>
      <c r="T46" s="238"/>
      <c r="U46" s="238"/>
    </row>
    <row r="47" spans="1:67" x14ac:dyDescent="0.25">
      <c r="A47" s="228" t="s">
        <v>133</v>
      </c>
      <c r="B47" s="228" t="s">
        <v>134</v>
      </c>
      <c r="C47" s="228">
        <v>7813</v>
      </c>
      <c r="D47" s="238">
        <v>2013.2536182562981</v>
      </c>
      <c r="E47" s="238">
        <v>1967.9336119195568</v>
      </c>
      <c r="F47" s="238">
        <f t="shared" si="76"/>
        <v>3831.8127698241451</v>
      </c>
      <c r="G47" s="352">
        <f t="shared" si="77"/>
        <v>0.11611446229979727</v>
      </c>
      <c r="H47" s="352"/>
      <c r="I47" s="353"/>
      <c r="L47" s="238"/>
      <c r="N47" s="238"/>
      <c r="O47" s="238"/>
      <c r="P47" s="238"/>
      <c r="Q47" s="238"/>
      <c r="R47" s="238"/>
      <c r="S47" s="238"/>
      <c r="T47" s="238"/>
      <c r="U47" s="238"/>
    </row>
    <row r="48" spans="1:67" x14ac:dyDescent="0.25">
      <c r="A48" s="228" t="s">
        <v>135</v>
      </c>
      <c r="B48" s="228" t="s">
        <v>136</v>
      </c>
      <c r="C48" s="228">
        <v>1737</v>
      </c>
      <c r="D48" s="238">
        <v>1091.7329266334</v>
      </c>
      <c r="E48" s="238">
        <v>0</v>
      </c>
      <c r="F48" s="238">
        <f t="shared" si="76"/>
        <v>645.26707336660002</v>
      </c>
      <c r="G48" s="352">
        <f t="shared" si="77"/>
        <v>1.9553366451974415E-2</v>
      </c>
      <c r="H48" s="352"/>
      <c r="I48" s="353"/>
      <c r="L48" s="238"/>
      <c r="N48" s="238"/>
      <c r="O48" s="238"/>
      <c r="P48" s="238"/>
      <c r="Q48" s="238"/>
      <c r="R48" s="238"/>
      <c r="S48" s="238"/>
      <c r="T48" s="238"/>
      <c r="U48" s="238"/>
    </row>
    <row r="49" spans="1:21" x14ac:dyDescent="0.25">
      <c r="A49" s="228" t="s">
        <v>137</v>
      </c>
      <c r="B49" s="228" t="s">
        <v>138</v>
      </c>
      <c r="C49" s="228">
        <v>1928</v>
      </c>
      <c r="D49" s="238">
        <v>1689.3552893652445</v>
      </c>
      <c r="E49" s="238">
        <v>329.13897843762777</v>
      </c>
      <c r="F49" s="238">
        <f t="shared" si="76"/>
        <v>-90.494267802872287</v>
      </c>
      <c r="G49" s="352">
        <f t="shared" si="77"/>
        <v>-2.7422251238091171E-3</v>
      </c>
      <c r="H49" s="352"/>
      <c r="I49" s="353"/>
      <c r="L49" s="238"/>
      <c r="N49" s="238"/>
      <c r="O49" s="238"/>
      <c r="P49" s="238"/>
      <c r="Q49" s="238"/>
      <c r="R49" s="238"/>
      <c r="S49" s="238"/>
      <c r="T49" s="238"/>
      <c r="U49" s="238"/>
    </row>
    <row r="50" spans="1:21" x14ac:dyDescent="0.25">
      <c r="A50" s="228" t="s">
        <v>139</v>
      </c>
      <c r="B50" s="228" t="s">
        <v>140</v>
      </c>
      <c r="C50" s="228">
        <v>1024</v>
      </c>
      <c r="D50" s="238">
        <v>821.83614578268782</v>
      </c>
      <c r="E50" s="238">
        <v>0</v>
      </c>
      <c r="F50" s="238">
        <f t="shared" si="76"/>
        <v>202.16385421731218</v>
      </c>
      <c r="G50" s="352">
        <f t="shared" si="77"/>
        <v>6.1261206220091791E-3</v>
      </c>
      <c r="H50" s="352"/>
      <c r="I50" s="353"/>
      <c r="L50" s="238"/>
      <c r="N50" s="238"/>
      <c r="O50" s="238"/>
      <c r="P50" s="238"/>
      <c r="Q50" s="238"/>
      <c r="R50" s="238"/>
      <c r="S50" s="238"/>
      <c r="T50" s="238"/>
      <c r="U50" s="238"/>
    </row>
    <row r="51" spans="1:21" x14ac:dyDescent="0.25">
      <c r="A51" s="228" t="s">
        <v>141</v>
      </c>
      <c r="B51" s="228" t="s">
        <v>142</v>
      </c>
      <c r="C51" s="228">
        <v>253</v>
      </c>
      <c r="D51" s="238">
        <v>75.305943996876792</v>
      </c>
      <c r="E51" s="238">
        <v>64.809377827537702</v>
      </c>
      <c r="F51" s="238">
        <f t="shared" si="76"/>
        <v>112.88467817558549</v>
      </c>
      <c r="G51" s="352">
        <f t="shared" si="77"/>
        <v>3.420716119395708E-3</v>
      </c>
      <c r="H51" s="352"/>
      <c r="I51" s="353"/>
      <c r="L51" s="238"/>
      <c r="N51" s="238"/>
      <c r="O51" s="238"/>
      <c r="P51" s="238"/>
      <c r="Q51" s="238"/>
      <c r="R51" s="238"/>
      <c r="S51" s="238"/>
      <c r="T51" s="238"/>
      <c r="U51" s="238"/>
    </row>
    <row r="52" spans="1:21" x14ac:dyDescent="0.25">
      <c r="A52" s="228" t="s">
        <v>143</v>
      </c>
      <c r="C52" s="228">
        <v>65996</v>
      </c>
      <c r="D52" s="238">
        <v>28954.703557406494</v>
      </c>
      <c r="E52" s="238">
        <v>9790.6360165220176</v>
      </c>
      <c r="F52" s="238">
        <f t="shared" si="76"/>
        <v>27250.660426071488</v>
      </c>
      <c r="G52" s="352"/>
      <c r="H52" s="352"/>
      <c r="L52" s="238"/>
      <c r="N52" s="238"/>
      <c r="O52" s="238"/>
      <c r="P52" s="238"/>
      <c r="Q52" s="238"/>
      <c r="R52" s="238"/>
      <c r="S52" s="238"/>
      <c r="T52" s="238"/>
      <c r="U52" s="238"/>
    </row>
    <row r="53" spans="1:21" ht="27.75" customHeight="1" x14ac:dyDescent="0.25">
      <c r="A53" s="228" t="s">
        <v>144</v>
      </c>
      <c r="B53" s="347" t="s">
        <v>145</v>
      </c>
      <c r="D53" s="238">
        <v>0</v>
      </c>
      <c r="E53" s="238">
        <v>0</v>
      </c>
      <c r="F53" s="238">
        <f t="shared" si="76"/>
        <v>0</v>
      </c>
      <c r="G53" s="352">
        <f t="shared" si="77"/>
        <v>0</v>
      </c>
      <c r="H53" s="352"/>
      <c r="L53" s="238"/>
      <c r="N53" s="238"/>
      <c r="O53" s="238"/>
      <c r="P53" s="238"/>
      <c r="Q53" s="238"/>
      <c r="R53" s="238"/>
      <c r="S53" s="238"/>
      <c r="T53" s="238"/>
      <c r="U53" s="238"/>
    </row>
    <row r="54" spans="1:21" x14ac:dyDescent="0.25">
      <c r="A54" s="228" t="s">
        <v>146</v>
      </c>
      <c r="B54" s="228" t="s">
        <v>147</v>
      </c>
      <c r="C54" s="228">
        <v>4843</v>
      </c>
      <c r="D54" s="238">
        <v>264.25488059766218</v>
      </c>
      <c r="E54" s="238">
        <v>1122.0503456047841</v>
      </c>
      <c r="F54" s="238">
        <f t="shared" si="76"/>
        <v>3456.6947737975538</v>
      </c>
      <c r="G54" s="352">
        <f t="shared" si="77"/>
        <v>0.10474735565235946</v>
      </c>
      <c r="H54" s="352"/>
      <c r="L54" s="238"/>
      <c r="N54" s="238"/>
      <c r="O54" s="238"/>
      <c r="P54" s="238"/>
      <c r="Q54" s="238"/>
      <c r="R54" s="238"/>
      <c r="S54" s="238"/>
      <c r="T54" s="238"/>
      <c r="U54" s="238"/>
    </row>
    <row r="55" spans="1:21" x14ac:dyDescent="0.25">
      <c r="A55" s="228" t="s">
        <v>148</v>
      </c>
      <c r="B55" s="228" t="s">
        <v>149</v>
      </c>
      <c r="C55" s="228">
        <v>3213</v>
      </c>
      <c r="D55" s="238">
        <v>175.29514777361837</v>
      </c>
      <c r="E55" s="238">
        <v>744.31919931763889</v>
      </c>
      <c r="F55" s="238">
        <f t="shared" si="76"/>
        <v>2293.3856529087429</v>
      </c>
      <c r="G55" s="352">
        <f t="shared" si="77"/>
        <v>6.9495890830226906E-2</v>
      </c>
      <c r="H55" s="352"/>
      <c r="L55" s="238"/>
      <c r="N55" s="238"/>
      <c r="O55" s="238"/>
      <c r="P55" s="238"/>
      <c r="Q55" s="238"/>
      <c r="R55" s="238"/>
      <c r="S55" s="238"/>
      <c r="T55" s="238"/>
      <c r="U55" s="238"/>
    </row>
    <row r="56" spans="1:21" x14ac:dyDescent="0.25">
      <c r="A56" s="228" t="s">
        <v>150</v>
      </c>
      <c r="C56" s="228">
        <v>8056</v>
      </c>
      <c r="D56" s="238">
        <v>439.55002837128052</v>
      </c>
      <c r="E56" s="238">
        <v>1866.3695449224231</v>
      </c>
      <c r="F56" s="238">
        <f t="shared" si="76"/>
        <v>5750.0804267062958</v>
      </c>
      <c r="G56" s="352"/>
      <c r="H56" s="352"/>
      <c r="L56" s="238"/>
      <c r="N56" s="238"/>
      <c r="O56" s="238"/>
      <c r="P56" s="238"/>
      <c r="Q56" s="238"/>
      <c r="R56" s="238"/>
      <c r="S56" s="238"/>
      <c r="T56" s="238"/>
      <c r="U56" s="238"/>
    </row>
    <row r="57" spans="1:21" x14ac:dyDescent="0.25">
      <c r="A57" s="228" t="s">
        <v>151</v>
      </c>
      <c r="B57" s="228" t="s">
        <v>152</v>
      </c>
      <c r="D57" s="238">
        <v>0</v>
      </c>
      <c r="E57" s="238">
        <v>0</v>
      </c>
      <c r="F57" s="238">
        <f t="shared" si="76"/>
        <v>0</v>
      </c>
      <c r="G57" s="352">
        <f t="shared" si="77"/>
        <v>0</v>
      </c>
      <c r="H57" s="352"/>
      <c r="L57" s="238"/>
      <c r="N57" s="238"/>
      <c r="O57" s="238"/>
      <c r="P57" s="238"/>
      <c r="Q57" s="238"/>
      <c r="R57" s="238"/>
      <c r="S57" s="238"/>
      <c r="T57" s="238"/>
      <c r="U57" s="238"/>
    </row>
    <row r="58" spans="1:21" x14ac:dyDescent="0.25">
      <c r="B58" s="228" t="s">
        <v>153</v>
      </c>
      <c r="C58" s="228">
        <v>4297</v>
      </c>
      <c r="D58" s="238">
        <v>4297.4350000000004</v>
      </c>
      <c r="E58" s="238">
        <v>0</v>
      </c>
      <c r="F58" s="238">
        <f t="shared" si="76"/>
        <v>-0.43500000000040018</v>
      </c>
      <c r="G58" s="352">
        <f t="shared" si="77"/>
        <v>-1.3181696010365441E-5</v>
      </c>
      <c r="H58" s="352"/>
      <c r="L58" s="238"/>
      <c r="N58" s="238"/>
      <c r="O58" s="238"/>
      <c r="P58" s="238"/>
      <c r="Q58" s="238"/>
      <c r="R58" s="238"/>
      <c r="S58" s="238"/>
      <c r="T58" s="238"/>
      <c r="U58" s="238"/>
    </row>
    <row r="59" spans="1:21" x14ac:dyDescent="0.25">
      <c r="A59" s="228" t="s">
        <v>154</v>
      </c>
      <c r="C59" s="228">
        <v>4297</v>
      </c>
      <c r="D59" s="238">
        <v>4297.4350000000004</v>
      </c>
      <c r="E59" s="238">
        <v>0</v>
      </c>
      <c r="F59" s="238">
        <f t="shared" si="76"/>
        <v>-0.43500000000040018</v>
      </c>
      <c r="G59" s="353"/>
      <c r="H59" s="353"/>
      <c r="L59" s="238"/>
      <c r="N59" s="238"/>
      <c r="O59" s="238"/>
      <c r="P59" s="238"/>
      <c r="Q59" s="238"/>
      <c r="R59" s="238"/>
      <c r="S59" s="238"/>
      <c r="T59" s="238"/>
      <c r="U59" s="238"/>
    </row>
    <row r="60" spans="1:21" x14ac:dyDescent="0.25">
      <c r="A60" s="228" t="s">
        <v>155</v>
      </c>
      <c r="C60" s="228">
        <v>78349</v>
      </c>
      <c r="D60" s="238">
        <v>33691.688585777774</v>
      </c>
      <c r="E60" s="238">
        <v>11657.005561444441</v>
      </c>
      <c r="F60" s="238">
        <f>C60-D60-E60</f>
        <v>33000.305852777783</v>
      </c>
      <c r="G60" s="352">
        <f>SUM(G45:G59)</f>
        <v>1.0000152622491179</v>
      </c>
      <c r="H60" s="352"/>
      <c r="L60" s="238"/>
      <c r="N60" s="238"/>
      <c r="O60" s="238"/>
      <c r="P60" s="238"/>
      <c r="Q60" s="238"/>
      <c r="R60" s="238"/>
      <c r="S60" s="238"/>
      <c r="T60" s="238"/>
      <c r="U60" s="238"/>
    </row>
    <row r="67" spans="1:2" x14ac:dyDescent="0.25">
      <c r="A67" s="648"/>
      <c r="B67" s="648"/>
    </row>
    <row r="68" spans="1:2" x14ac:dyDescent="0.25">
      <c r="A68" s="563"/>
      <c r="B68" s="563"/>
    </row>
    <row r="69" spans="1:2" x14ac:dyDescent="0.25">
      <c r="A69" s="649"/>
      <c r="B69" s="649"/>
    </row>
    <row r="70" spans="1:2" x14ac:dyDescent="0.25">
      <c r="A70" s="649"/>
      <c r="B70" s="649"/>
    </row>
    <row r="71" spans="1:2" x14ac:dyDescent="0.25">
      <c r="A71" s="649"/>
      <c r="B71" s="649"/>
    </row>
    <row r="72" spans="1:2" x14ac:dyDescent="0.25">
      <c r="A72" s="563"/>
      <c r="B72" s="563"/>
    </row>
  </sheetData>
  <mergeCells count="43">
    <mergeCell ref="AU41:AY41"/>
    <mergeCell ref="AU36:AY36"/>
    <mergeCell ref="AU37:AY37"/>
    <mergeCell ref="AU38:AY38"/>
    <mergeCell ref="AU39:AY39"/>
    <mergeCell ref="AU40:AY40"/>
    <mergeCell ref="AW1:BD1"/>
    <mergeCell ref="U10:W10"/>
    <mergeCell ref="Q10:S10"/>
    <mergeCell ref="M10:O10"/>
    <mergeCell ref="I10:K10"/>
    <mergeCell ref="AS9:AS11"/>
    <mergeCell ref="Y10:AA10"/>
    <mergeCell ref="E9:AA9"/>
    <mergeCell ref="AG10:AI10"/>
    <mergeCell ref="AJ10:AL10"/>
    <mergeCell ref="AM10:AO10"/>
    <mergeCell ref="AP10:AR10"/>
    <mergeCell ref="AC10:AE10"/>
    <mergeCell ref="B6:BD6"/>
    <mergeCell ref="B7:BD7"/>
    <mergeCell ref="B8:BD8"/>
    <mergeCell ref="A72:B72"/>
    <mergeCell ref="AW5:BD5"/>
    <mergeCell ref="AW4:BD4"/>
    <mergeCell ref="AW3:BD3"/>
    <mergeCell ref="AW2:BD2"/>
    <mergeCell ref="E10:G10"/>
    <mergeCell ref="A9:A11"/>
    <mergeCell ref="A33:A34"/>
    <mergeCell ref="B14:BD14"/>
    <mergeCell ref="F34:Z34"/>
    <mergeCell ref="D9:D11"/>
    <mergeCell ref="C9:C11"/>
    <mergeCell ref="B9:B11"/>
    <mergeCell ref="AT34:BD34"/>
    <mergeCell ref="AT9:BD9"/>
    <mergeCell ref="B13:BD13"/>
    <mergeCell ref="AA34:AR34"/>
    <mergeCell ref="A67:B67"/>
    <mergeCell ref="A68:B68"/>
    <mergeCell ref="A69:B70"/>
    <mergeCell ref="A71:B71"/>
  </mergeCells>
  <printOptions horizontalCentered="1" verticalCentered="1"/>
  <pageMargins left="0" right="0" top="0.15748031496062992" bottom="0.15748031496062992" header="0.31496062992125984" footer="0.31496062992125984"/>
  <pageSetup paperSize="8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09"/>
  <sheetViews>
    <sheetView topLeftCell="A4" zoomScale="77" zoomScaleNormal="77" workbookViewId="0">
      <pane xSplit="2" ySplit="4" topLeftCell="C52" activePane="bottomRight" state="frozen"/>
      <selection activeCell="A4" sqref="A4"/>
      <selection pane="topRight" activeCell="C4" sqref="C4"/>
      <selection pane="bottomLeft" activeCell="A8" sqref="A8"/>
      <selection pane="bottomRight" activeCell="J21" sqref="J21"/>
    </sheetView>
  </sheetViews>
  <sheetFormatPr defaultRowHeight="15" outlineLevelRow="1" x14ac:dyDescent="0.25"/>
  <cols>
    <col min="1" max="1" width="5" style="228" customWidth="1"/>
    <col min="2" max="2" width="63.140625" style="228" customWidth="1"/>
    <col min="3" max="3" width="13" style="228" customWidth="1"/>
    <col min="4" max="4" width="12.7109375" style="228" customWidth="1"/>
    <col min="5" max="5" width="16.28515625" style="228" customWidth="1"/>
    <col min="6" max="6" width="9" style="228" customWidth="1"/>
    <col min="7" max="7" width="8.28515625" style="228" customWidth="1"/>
    <col min="8" max="8" width="8.85546875" style="228" customWidth="1"/>
    <col min="9" max="9" width="8.42578125" style="228" customWidth="1"/>
    <col min="10" max="10" width="10" style="228" customWidth="1"/>
    <col min="11" max="11" width="8.42578125" style="228" customWidth="1"/>
    <col min="12" max="12" width="8.28515625" style="228" customWidth="1"/>
    <col min="13" max="13" width="7.85546875" style="228" customWidth="1"/>
    <col min="14" max="15" width="8.42578125" style="228" customWidth="1"/>
    <col min="16" max="16" width="9.42578125" style="228" customWidth="1"/>
    <col min="17" max="17" width="8.140625" style="228" customWidth="1"/>
    <col min="18" max="19" width="8.42578125" style="228" customWidth="1"/>
    <col min="20" max="20" width="8.5703125" style="228" customWidth="1"/>
    <col min="21" max="21" width="7.28515625" style="228" customWidth="1"/>
    <col min="22" max="23" width="8.42578125" style="228" customWidth="1"/>
    <col min="24" max="24" width="8.5703125" style="228" customWidth="1"/>
    <col min="25" max="25" width="7.42578125" style="228" customWidth="1"/>
    <col min="26" max="28" width="8.42578125" style="228" customWidth="1"/>
    <col min="29" max="29" width="7.5703125" style="228" customWidth="1"/>
    <col min="30" max="30" width="10.28515625" style="228" customWidth="1"/>
    <col min="31" max="31" width="8.42578125" style="228" customWidth="1"/>
    <col min="32" max="32" width="8.7109375" style="228" customWidth="1"/>
    <col min="33" max="33" width="9.85546875" style="228" customWidth="1"/>
    <col min="34" max="34" width="9.140625" style="228" customWidth="1"/>
    <col min="35" max="35" width="7.140625" style="228" customWidth="1"/>
    <col min="36" max="36" width="8.85546875" style="228" customWidth="1"/>
    <col min="37" max="37" width="9.28515625" style="228" customWidth="1"/>
    <col min="38" max="38" width="7.140625" style="228" customWidth="1"/>
    <col min="39" max="39" width="8.5703125" style="228" customWidth="1"/>
    <col min="40" max="40" width="9.42578125" style="228" customWidth="1"/>
    <col min="41" max="41" width="7.140625" style="228" customWidth="1"/>
    <col min="42" max="43" width="8.85546875" style="228" customWidth="1"/>
    <col min="44" max="44" width="7.7109375" style="228" customWidth="1"/>
    <col min="45" max="45" width="8.7109375" style="228" customWidth="1"/>
    <col min="46" max="46" width="8" style="228" customWidth="1"/>
    <col min="47" max="53" width="9.140625" style="228" customWidth="1"/>
    <col min="54" max="16384" width="9.140625" style="228"/>
  </cols>
  <sheetData>
    <row r="1" spans="1:57" ht="18.75" x14ac:dyDescent="0.3">
      <c r="B1" s="678" t="s">
        <v>111</v>
      </c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  <c r="Z1" s="678"/>
      <c r="AA1" s="678"/>
      <c r="AB1" s="678"/>
      <c r="AC1" s="678"/>
      <c r="AD1" s="678"/>
      <c r="AE1" s="678"/>
      <c r="AF1" s="678"/>
      <c r="AG1" s="678"/>
      <c r="AH1" s="678"/>
      <c r="AI1" s="678"/>
      <c r="AJ1" s="678"/>
      <c r="AK1" s="678"/>
      <c r="AL1" s="678"/>
      <c r="AM1" s="678"/>
      <c r="AN1" s="678"/>
      <c r="AO1" s="678"/>
      <c r="AP1" s="678"/>
      <c r="AQ1" s="678"/>
      <c r="AR1" s="678"/>
      <c r="AS1" s="678"/>
      <c r="AU1" s="228" t="s">
        <v>115</v>
      </c>
    </row>
    <row r="2" spans="1:57" ht="18.75" x14ac:dyDescent="0.25">
      <c r="B2" s="642" t="s">
        <v>369</v>
      </c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  <c r="W2" s="642"/>
      <c r="X2" s="642"/>
      <c r="Y2" s="642"/>
      <c r="Z2" s="642"/>
      <c r="AA2" s="642"/>
      <c r="AB2" s="642"/>
      <c r="AC2" s="642"/>
      <c r="AD2" s="642"/>
      <c r="AE2" s="642"/>
      <c r="AF2" s="642"/>
      <c r="AG2" s="642"/>
      <c r="AH2" s="642"/>
      <c r="AI2" s="642"/>
      <c r="AJ2" s="642"/>
      <c r="AK2" s="642"/>
      <c r="AL2" s="642"/>
      <c r="AM2" s="642"/>
      <c r="AN2" s="642"/>
      <c r="AO2" s="642"/>
      <c r="AP2" s="642"/>
      <c r="AQ2" s="642"/>
      <c r="AR2" s="642"/>
      <c r="AS2" s="642"/>
    </row>
    <row r="3" spans="1:57" x14ac:dyDescent="0.25">
      <c r="B3" s="713" t="s">
        <v>179</v>
      </c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  <c r="W3" s="713"/>
      <c r="X3" s="713"/>
      <c r="Y3" s="713"/>
      <c r="Z3" s="713"/>
      <c r="AA3" s="713"/>
      <c r="AB3" s="713"/>
      <c r="AC3" s="713"/>
      <c r="AD3" s="713"/>
      <c r="AE3" s="713"/>
      <c r="AF3" s="713"/>
      <c r="AG3" s="713"/>
      <c r="AH3" s="713"/>
      <c r="AI3" s="713"/>
      <c r="AJ3" s="713"/>
      <c r="AK3" s="713"/>
      <c r="AL3" s="713"/>
      <c r="AM3" s="713"/>
      <c r="AN3" s="713"/>
      <c r="AO3" s="713"/>
      <c r="AP3" s="713"/>
      <c r="AQ3" s="713"/>
      <c r="AR3" s="713"/>
      <c r="AS3" s="713"/>
    </row>
    <row r="4" spans="1:57" ht="15.75" thickBot="1" x14ac:dyDescent="0.3">
      <c r="B4" s="425" t="s">
        <v>509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</row>
    <row r="5" spans="1:57" ht="15" customHeight="1" x14ac:dyDescent="0.25">
      <c r="A5" s="692" t="s">
        <v>108</v>
      </c>
      <c r="B5" s="694" t="s">
        <v>354</v>
      </c>
      <c r="C5" s="696" t="s">
        <v>116</v>
      </c>
      <c r="D5" s="698" t="s">
        <v>441</v>
      </c>
      <c r="E5" s="700" t="s">
        <v>514</v>
      </c>
      <c r="F5" s="703" t="s">
        <v>400</v>
      </c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4"/>
      <c r="W5" s="704"/>
      <c r="X5" s="704"/>
      <c r="Y5" s="704"/>
      <c r="Z5" s="704"/>
      <c r="AA5" s="704"/>
      <c r="AB5" s="704"/>
      <c r="AC5" s="705"/>
      <c r="AD5" s="706" t="s">
        <v>443</v>
      </c>
      <c r="AE5" s="707"/>
      <c r="AF5" s="707"/>
      <c r="AG5" s="708"/>
      <c r="AH5" s="703" t="s">
        <v>471</v>
      </c>
      <c r="AI5" s="704"/>
      <c r="AJ5" s="704"/>
      <c r="AK5" s="704"/>
      <c r="AL5" s="704"/>
      <c r="AM5" s="704"/>
      <c r="AN5" s="704"/>
      <c r="AO5" s="704"/>
      <c r="AP5" s="704"/>
      <c r="AQ5" s="704"/>
      <c r="AR5" s="704"/>
      <c r="AS5" s="712"/>
      <c r="AT5" s="251"/>
    </row>
    <row r="6" spans="1:57" ht="15" customHeight="1" x14ac:dyDescent="0.25">
      <c r="A6" s="693"/>
      <c r="B6" s="695"/>
      <c r="C6" s="697"/>
      <c r="D6" s="699"/>
      <c r="E6" s="701"/>
      <c r="F6" s="683" t="s">
        <v>371</v>
      </c>
      <c r="G6" s="682"/>
      <c r="H6" s="682"/>
      <c r="I6" s="682"/>
      <c r="J6" s="683" t="s">
        <v>372</v>
      </c>
      <c r="K6" s="682"/>
      <c r="L6" s="682"/>
      <c r="M6" s="684"/>
      <c r="N6" s="682" t="s">
        <v>373</v>
      </c>
      <c r="O6" s="682"/>
      <c r="P6" s="682"/>
      <c r="Q6" s="682"/>
      <c r="R6" s="683" t="s">
        <v>374</v>
      </c>
      <c r="S6" s="682"/>
      <c r="T6" s="682"/>
      <c r="U6" s="684"/>
      <c r="V6" s="682" t="s">
        <v>375</v>
      </c>
      <c r="W6" s="682"/>
      <c r="X6" s="682"/>
      <c r="Y6" s="682"/>
      <c r="Z6" s="683" t="s">
        <v>376</v>
      </c>
      <c r="AA6" s="682"/>
      <c r="AB6" s="682"/>
      <c r="AC6" s="684"/>
      <c r="AD6" s="709"/>
      <c r="AE6" s="710"/>
      <c r="AF6" s="710"/>
      <c r="AG6" s="711"/>
      <c r="AH6" s="682" t="s">
        <v>377</v>
      </c>
      <c r="AI6" s="682"/>
      <c r="AJ6" s="682"/>
      <c r="AK6" s="683" t="s">
        <v>378</v>
      </c>
      <c r="AL6" s="682"/>
      <c r="AM6" s="684"/>
      <c r="AN6" s="682" t="s">
        <v>379</v>
      </c>
      <c r="AO6" s="682"/>
      <c r="AP6" s="682"/>
      <c r="AQ6" s="683" t="s">
        <v>380</v>
      </c>
      <c r="AR6" s="682"/>
      <c r="AS6" s="684"/>
      <c r="AT6" s="251"/>
    </row>
    <row r="7" spans="1:57" ht="72" customHeight="1" x14ac:dyDescent="0.25">
      <c r="A7" s="693"/>
      <c r="B7" s="695"/>
      <c r="C7" s="697"/>
      <c r="D7" s="699"/>
      <c r="E7" s="702"/>
      <c r="F7" s="373" t="s">
        <v>440</v>
      </c>
      <c r="G7" s="240" t="s">
        <v>515</v>
      </c>
      <c r="H7" s="240" t="s">
        <v>516</v>
      </c>
      <c r="I7" s="379" t="s">
        <v>464</v>
      </c>
      <c r="J7" s="375" t="s">
        <v>440</v>
      </c>
      <c r="K7" s="240" t="s">
        <v>515</v>
      </c>
      <c r="L7" s="240" t="s">
        <v>516</v>
      </c>
      <c r="M7" s="376" t="s">
        <v>465</v>
      </c>
      <c r="N7" s="373" t="s">
        <v>440</v>
      </c>
      <c r="O7" s="240" t="s">
        <v>515</v>
      </c>
      <c r="P7" s="240" t="s">
        <v>516</v>
      </c>
      <c r="Q7" s="379" t="s">
        <v>466</v>
      </c>
      <c r="R7" s="375" t="s">
        <v>440</v>
      </c>
      <c r="S7" s="240" t="s">
        <v>515</v>
      </c>
      <c r="T7" s="240" t="s">
        <v>516</v>
      </c>
      <c r="U7" s="376" t="s">
        <v>467</v>
      </c>
      <c r="V7" s="373" t="s">
        <v>440</v>
      </c>
      <c r="W7" s="240" t="s">
        <v>515</v>
      </c>
      <c r="X7" s="240" t="s">
        <v>516</v>
      </c>
      <c r="Y7" s="379" t="s">
        <v>468</v>
      </c>
      <c r="Z7" s="375" t="s">
        <v>440</v>
      </c>
      <c r="AA7" s="240" t="s">
        <v>515</v>
      </c>
      <c r="AB7" s="240" t="s">
        <v>516</v>
      </c>
      <c r="AC7" s="376" t="s">
        <v>469</v>
      </c>
      <c r="AD7" s="375" t="s">
        <v>440</v>
      </c>
      <c r="AE7" s="240" t="s">
        <v>515</v>
      </c>
      <c r="AF7" s="240" t="s">
        <v>516</v>
      </c>
      <c r="AG7" s="376" t="s">
        <v>462</v>
      </c>
      <c r="AH7" s="373" t="s">
        <v>440</v>
      </c>
      <c r="AI7" s="240" t="s">
        <v>515</v>
      </c>
      <c r="AJ7" s="240" t="s">
        <v>516</v>
      </c>
      <c r="AK7" s="375" t="s">
        <v>440</v>
      </c>
      <c r="AL7" s="240" t="s">
        <v>515</v>
      </c>
      <c r="AM7" s="240" t="s">
        <v>516</v>
      </c>
      <c r="AN7" s="373" t="s">
        <v>440</v>
      </c>
      <c r="AO7" s="240" t="s">
        <v>515</v>
      </c>
      <c r="AP7" s="240" t="s">
        <v>516</v>
      </c>
      <c r="AQ7" s="375" t="s">
        <v>440</v>
      </c>
      <c r="AR7" s="240" t="s">
        <v>515</v>
      </c>
      <c r="AS7" s="416" t="s">
        <v>516</v>
      </c>
      <c r="AT7" s="252"/>
    </row>
    <row r="8" spans="1:57" x14ac:dyDescent="0.25">
      <c r="A8" s="404">
        <v>1</v>
      </c>
      <c r="B8" s="397">
        <v>2</v>
      </c>
      <c r="C8" s="403">
        <v>3</v>
      </c>
      <c r="D8" s="412">
        <v>4</v>
      </c>
      <c r="E8" s="413">
        <v>5</v>
      </c>
      <c r="F8" s="398">
        <v>6</v>
      </c>
      <c r="G8" s="245" t="s">
        <v>472</v>
      </c>
      <c r="H8" s="245" t="s">
        <v>473</v>
      </c>
      <c r="I8" s="372" t="s">
        <v>474</v>
      </c>
      <c r="J8" s="404">
        <v>10</v>
      </c>
      <c r="K8" s="397">
        <v>11</v>
      </c>
      <c r="L8" s="408" t="s">
        <v>475</v>
      </c>
      <c r="M8" s="409" t="s">
        <v>476</v>
      </c>
      <c r="N8" s="374" t="s">
        <v>477</v>
      </c>
      <c r="O8" s="245" t="s">
        <v>478</v>
      </c>
      <c r="P8" s="245" t="s">
        <v>479</v>
      </c>
      <c r="Q8" s="372" t="s">
        <v>480</v>
      </c>
      <c r="R8" s="377" t="s">
        <v>481</v>
      </c>
      <c r="S8" s="245" t="s">
        <v>482</v>
      </c>
      <c r="T8" s="245" t="s">
        <v>483</v>
      </c>
      <c r="U8" s="378" t="s">
        <v>484</v>
      </c>
      <c r="V8" s="374" t="s">
        <v>485</v>
      </c>
      <c r="W8" s="245" t="s">
        <v>486</v>
      </c>
      <c r="X8" s="245" t="s">
        <v>487</v>
      </c>
      <c r="Y8" s="372" t="s">
        <v>488</v>
      </c>
      <c r="Z8" s="377" t="s">
        <v>489</v>
      </c>
      <c r="AA8" s="245" t="s">
        <v>490</v>
      </c>
      <c r="AB8" s="245" t="s">
        <v>491</v>
      </c>
      <c r="AC8" s="378" t="s">
        <v>492</v>
      </c>
      <c r="AD8" s="377" t="s">
        <v>493</v>
      </c>
      <c r="AE8" s="245" t="s">
        <v>494</v>
      </c>
      <c r="AF8" s="245" t="s">
        <v>495</v>
      </c>
      <c r="AG8" s="378" t="s">
        <v>496</v>
      </c>
      <c r="AH8" s="374" t="s">
        <v>497</v>
      </c>
      <c r="AI8" s="245" t="s">
        <v>498</v>
      </c>
      <c r="AJ8" s="372" t="s">
        <v>499</v>
      </c>
      <c r="AK8" s="377" t="s">
        <v>500</v>
      </c>
      <c r="AL8" s="245" t="s">
        <v>501</v>
      </c>
      <c r="AM8" s="378" t="s">
        <v>502</v>
      </c>
      <c r="AN8" s="374" t="s">
        <v>503</v>
      </c>
      <c r="AO8" s="245" t="s">
        <v>504</v>
      </c>
      <c r="AP8" s="372" t="s">
        <v>505</v>
      </c>
      <c r="AQ8" s="377" t="s">
        <v>506</v>
      </c>
      <c r="AR8" s="245" t="s">
        <v>507</v>
      </c>
      <c r="AS8" s="378" t="s">
        <v>508</v>
      </c>
      <c r="AT8" s="253"/>
      <c r="AU8" s="244"/>
      <c r="AV8" s="244"/>
      <c r="AW8" s="244"/>
      <c r="AX8" s="244"/>
      <c r="AY8" s="244"/>
      <c r="AZ8" s="244"/>
      <c r="BA8" s="244"/>
      <c r="BB8" s="244"/>
      <c r="BC8" s="244"/>
    </row>
    <row r="9" spans="1:57" ht="15.75" x14ac:dyDescent="0.25">
      <c r="A9" s="405" t="s">
        <v>232</v>
      </c>
      <c r="B9" s="685" t="s">
        <v>125</v>
      </c>
      <c r="C9" s="686"/>
      <c r="D9" s="686"/>
      <c r="E9" s="686"/>
      <c r="F9" s="687"/>
      <c r="G9" s="687"/>
      <c r="H9" s="687"/>
      <c r="I9" s="687"/>
      <c r="J9" s="686"/>
      <c r="K9" s="686"/>
      <c r="L9" s="686"/>
      <c r="M9" s="686"/>
      <c r="N9" s="687"/>
      <c r="O9" s="687"/>
      <c r="P9" s="687"/>
      <c r="Q9" s="687"/>
      <c r="R9" s="687"/>
      <c r="S9" s="687"/>
      <c r="T9" s="687"/>
      <c r="U9" s="687"/>
      <c r="V9" s="687"/>
      <c r="W9" s="687"/>
      <c r="X9" s="687"/>
      <c r="Y9" s="687"/>
      <c r="Z9" s="687"/>
      <c r="AA9" s="687"/>
      <c r="AB9" s="687"/>
      <c r="AC9" s="687"/>
      <c r="AD9" s="687"/>
      <c r="AE9" s="687"/>
      <c r="AF9" s="687"/>
      <c r="AG9" s="687"/>
      <c r="AH9" s="687"/>
      <c r="AI9" s="687"/>
      <c r="AJ9" s="687"/>
      <c r="AK9" s="687"/>
      <c r="AL9" s="687"/>
      <c r="AM9" s="687"/>
      <c r="AN9" s="687"/>
      <c r="AO9" s="687"/>
      <c r="AP9" s="687"/>
      <c r="AQ9" s="687"/>
      <c r="AR9" s="687"/>
      <c r="AS9" s="688"/>
      <c r="AT9" s="254"/>
    </row>
    <row r="10" spans="1:57" x14ac:dyDescent="0.25">
      <c r="A10" s="406"/>
      <c r="B10" s="672" t="s">
        <v>370</v>
      </c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3"/>
      <c r="AH10" s="673"/>
      <c r="AI10" s="673"/>
      <c r="AJ10" s="673"/>
      <c r="AK10" s="673"/>
      <c r="AL10" s="673"/>
      <c r="AM10" s="673"/>
      <c r="AN10" s="673"/>
      <c r="AO10" s="673"/>
      <c r="AP10" s="673"/>
      <c r="AQ10" s="673"/>
      <c r="AR10" s="673"/>
      <c r="AS10" s="690"/>
      <c r="AT10" s="255"/>
    </row>
    <row r="11" spans="1:57" s="381" customFormat="1" ht="29.25" customHeight="1" x14ac:dyDescent="0.2">
      <c r="A11" s="405" t="s">
        <v>127</v>
      </c>
      <c r="B11" s="399" t="s">
        <v>128</v>
      </c>
      <c r="C11" s="393"/>
      <c r="D11" s="414"/>
      <c r="E11" s="415"/>
      <c r="F11" s="395"/>
      <c r="G11" s="233"/>
      <c r="H11" s="233"/>
      <c r="I11" s="391"/>
      <c r="J11" s="393"/>
      <c r="K11" s="233"/>
      <c r="L11" s="233"/>
      <c r="M11" s="410"/>
      <c r="N11" s="395"/>
      <c r="O11" s="233"/>
      <c r="P11" s="233"/>
      <c r="Q11" s="391"/>
      <c r="R11" s="393"/>
      <c r="S11" s="233"/>
      <c r="T11" s="233"/>
      <c r="U11" s="410"/>
      <c r="V11" s="395"/>
      <c r="W11" s="233"/>
      <c r="X11" s="233"/>
      <c r="Y11" s="391"/>
      <c r="Z11" s="393"/>
      <c r="AA11" s="391"/>
      <c r="AB11" s="392"/>
      <c r="AC11" s="394"/>
      <c r="AD11" s="393"/>
      <c r="AE11" s="391"/>
      <c r="AF11" s="392"/>
      <c r="AG11" s="394"/>
      <c r="AH11" s="395"/>
      <c r="AI11" s="391"/>
      <c r="AJ11" s="392"/>
      <c r="AK11" s="393"/>
      <c r="AL11" s="391"/>
      <c r="AM11" s="394"/>
      <c r="AN11" s="395"/>
      <c r="AO11" s="391"/>
      <c r="AP11" s="392"/>
      <c r="AQ11" s="393"/>
      <c r="AR11" s="391"/>
      <c r="AS11" s="394"/>
      <c r="AT11" s="396"/>
    </row>
    <row r="12" spans="1:57" ht="30" x14ac:dyDescent="0.25">
      <c r="A12" s="406" t="s">
        <v>129</v>
      </c>
      <c r="B12" s="400" t="s">
        <v>130</v>
      </c>
      <c r="C12" s="427">
        <f>C40+C90</f>
        <v>47421</v>
      </c>
      <c r="D12" s="428">
        <f t="shared" ref="D12:E12" si="0">D40+D90</f>
        <v>33640.802859345677</v>
      </c>
      <c r="E12" s="429">
        <f t="shared" si="0"/>
        <v>13780.604244969918</v>
      </c>
      <c r="F12" s="430">
        <f>F40+F90</f>
        <v>16611.847999999998</v>
      </c>
      <c r="G12" s="431">
        <f t="shared" ref="G12:H12" si="1">G40+G90</f>
        <v>990.00811037153073</v>
      </c>
      <c r="H12" s="431">
        <f t="shared" si="1"/>
        <v>4808.2279272858559</v>
      </c>
      <c r="I12" s="432">
        <f>F12-G12-H12</f>
        <v>10813.611962342611</v>
      </c>
      <c r="J12" s="427">
        <f t="shared" ref="J12:AS12" si="2">J40+J90</f>
        <v>5200.6139999999996</v>
      </c>
      <c r="K12" s="431">
        <f t="shared" si="2"/>
        <v>921.83450420062138</v>
      </c>
      <c r="L12" s="431">
        <f t="shared" si="2"/>
        <v>1708.2719674153527</v>
      </c>
      <c r="M12" s="433">
        <f t="shared" si="2"/>
        <v>2570.5075283840256</v>
      </c>
      <c r="N12" s="430">
        <f t="shared" si="2"/>
        <v>0</v>
      </c>
      <c r="O12" s="431">
        <f t="shared" si="2"/>
        <v>0</v>
      </c>
      <c r="P12" s="431">
        <f t="shared" si="2"/>
        <v>2337.4662478670848</v>
      </c>
      <c r="Q12" s="432">
        <f t="shared" si="2"/>
        <v>-2337.4662478670848</v>
      </c>
      <c r="R12" s="427">
        <f t="shared" si="2"/>
        <v>10491.998</v>
      </c>
      <c r="S12" s="431">
        <f t="shared" si="2"/>
        <v>4677.1768371340931</v>
      </c>
      <c r="T12" s="431">
        <f t="shared" si="2"/>
        <v>1105.9554760503729</v>
      </c>
      <c r="U12" s="433">
        <f t="shared" si="2"/>
        <v>4708.865686815534</v>
      </c>
      <c r="V12" s="430">
        <f t="shared" si="2"/>
        <v>9204.5110000000004</v>
      </c>
      <c r="W12" s="431">
        <f t="shared" si="2"/>
        <v>5878.0520257891094</v>
      </c>
      <c r="X12" s="431">
        <f t="shared" si="2"/>
        <v>601.23679840816897</v>
      </c>
      <c r="Y12" s="434">
        <f t="shared" si="2"/>
        <v>2725.2221758027222</v>
      </c>
      <c r="Z12" s="427">
        <f t="shared" si="2"/>
        <v>5912.4830000000002</v>
      </c>
      <c r="AA12" s="431">
        <f t="shared" si="2"/>
        <v>4215.4492488615506</v>
      </c>
      <c r="AB12" s="431">
        <f t="shared" si="2"/>
        <v>1214.3730741371492</v>
      </c>
      <c r="AC12" s="435">
        <f t="shared" si="2"/>
        <v>482.66067700130043</v>
      </c>
      <c r="AD12" s="427">
        <f t="shared" si="2"/>
        <v>47421.453999999998</v>
      </c>
      <c r="AE12" s="431">
        <f t="shared" si="2"/>
        <v>16682.520726356906</v>
      </c>
      <c r="AF12" s="431">
        <f t="shared" si="2"/>
        <v>11775.531491163983</v>
      </c>
      <c r="AG12" s="433">
        <f t="shared" si="2"/>
        <v>18963.401782479108</v>
      </c>
      <c r="AH12" s="430">
        <f t="shared" si="2"/>
        <v>0</v>
      </c>
      <c r="AI12" s="431">
        <f t="shared" si="2"/>
        <v>4324.796895244167</v>
      </c>
      <c r="AJ12" s="434">
        <f t="shared" si="2"/>
        <v>714.73933865100446</v>
      </c>
      <c r="AK12" s="427">
        <f t="shared" si="2"/>
        <v>0</v>
      </c>
      <c r="AL12" s="431">
        <f t="shared" si="2"/>
        <v>4292.2144736595055</v>
      </c>
      <c r="AM12" s="435">
        <f t="shared" si="2"/>
        <v>747.32176023566603</v>
      </c>
      <c r="AN12" s="430">
        <f t="shared" si="2"/>
        <v>0</v>
      </c>
      <c r="AO12" s="431">
        <f t="shared" si="2"/>
        <v>4292.2144736595055</v>
      </c>
      <c r="AP12" s="434">
        <f t="shared" si="2"/>
        <v>543.01165491926372</v>
      </c>
      <c r="AQ12" s="427">
        <f t="shared" si="2"/>
        <v>0</v>
      </c>
      <c r="AR12" s="431">
        <f t="shared" si="2"/>
        <v>4049.0562904255939</v>
      </c>
      <c r="AS12" s="435">
        <f t="shared" si="2"/>
        <v>0</v>
      </c>
      <c r="AT12" s="257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>
        <f t="shared" ref="BE12:BE27" si="3">C12-AE12-AF12-AI12-AJ12-AL12-AM12-AO12-AP12-AR12-AS12</f>
        <v>-0.40710431559455174</v>
      </c>
    </row>
    <row r="13" spans="1:57" ht="20.25" customHeight="1" x14ac:dyDescent="0.25">
      <c r="A13" s="406" t="s">
        <v>131</v>
      </c>
      <c r="B13" s="400" t="s">
        <v>132</v>
      </c>
      <c r="C13" s="427">
        <f t="shared" ref="C13:E13" si="4">C41+C91</f>
        <v>5820</v>
      </c>
      <c r="D13" s="428">
        <f t="shared" si="4"/>
        <v>3567.5446982321405</v>
      </c>
      <c r="E13" s="429">
        <f t="shared" si="4"/>
        <v>2252.3441952246517</v>
      </c>
      <c r="F13" s="430">
        <f t="shared" ref="F13:H13" si="5">F41+F91</f>
        <v>2190.56</v>
      </c>
      <c r="G13" s="431">
        <f t="shared" si="5"/>
        <v>130.54972368248616</v>
      </c>
      <c r="H13" s="431">
        <f t="shared" si="5"/>
        <v>634.04816660947699</v>
      </c>
      <c r="I13" s="432">
        <f t="shared" ref="I13:I19" si="6">F13-G13-H13</f>
        <v>1425.9621097080367</v>
      </c>
      <c r="J13" s="427">
        <f t="shared" ref="J13:AS13" si="7">J41+J91</f>
        <v>2795.8</v>
      </c>
      <c r="K13" s="431">
        <f t="shared" si="7"/>
        <v>495.56935139660385</v>
      </c>
      <c r="L13" s="431">
        <f t="shared" si="7"/>
        <v>918.35055754952077</v>
      </c>
      <c r="M13" s="433">
        <f t="shared" si="7"/>
        <v>1381.8800910538755</v>
      </c>
      <c r="N13" s="430">
        <f t="shared" si="7"/>
        <v>0</v>
      </c>
      <c r="O13" s="431">
        <f t="shared" si="7"/>
        <v>0</v>
      </c>
      <c r="P13" s="431">
        <f t="shared" si="7"/>
        <v>308.23542714379045</v>
      </c>
      <c r="Q13" s="432">
        <f t="shared" si="7"/>
        <v>-308.23542714379045</v>
      </c>
      <c r="R13" s="427">
        <f t="shared" si="7"/>
        <v>833.53599999999994</v>
      </c>
      <c r="S13" s="431">
        <f t="shared" si="7"/>
        <v>371.57796561888443</v>
      </c>
      <c r="T13" s="431">
        <f t="shared" si="7"/>
        <v>87.862550458465932</v>
      </c>
      <c r="U13" s="433">
        <f t="shared" si="7"/>
        <v>374.09548392264958</v>
      </c>
      <c r="V13" s="430">
        <f t="shared" si="7"/>
        <v>0</v>
      </c>
      <c r="W13" s="431">
        <f t="shared" si="7"/>
        <v>0</v>
      </c>
      <c r="X13" s="431">
        <f t="shared" si="7"/>
        <v>0</v>
      </c>
      <c r="Y13" s="434">
        <f t="shared" si="7"/>
        <v>0</v>
      </c>
      <c r="Z13" s="427">
        <f t="shared" si="7"/>
        <v>0</v>
      </c>
      <c r="AA13" s="431">
        <f t="shared" si="7"/>
        <v>0</v>
      </c>
      <c r="AB13" s="431">
        <f t="shared" si="7"/>
        <v>0</v>
      </c>
      <c r="AC13" s="435">
        <f t="shared" si="7"/>
        <v>0</v>
      </c>
      <c r="AD13" s="427">
        <f t="shared" si="7"/>
        <v>5819.8960000000006</v>
      </c>
      <c r="AE13" s="431">
        <f t="shared" si="7"/>
        <v>997.69704069797444</v>
      </c>
      <c r="AF13" s="431">
        <f t="shared" si="7"/>
        <v>1948.4967017612541</v>
      </c>
      <c r="AG13" s="433">
        <f t="shared" si="7"/>
        <v>2873.7022575407714</v>
      </c>
      <c r="AH13" s="430">
        <f t="shared" si="7"/>
        <v>0</v>
      </c>
      <c r="AI13" s="431">
        <f t="shared" si="7"/>
        <v>655.37706492889231</v>
      </c>
      <c r="AJ13" s="434">
        <f t="shared" si="7"/>
        <v>108.31116033897978</v>
      </c>
      <c r="AK13" s="427">
        <f t="shared" si="7"/>
        <v>0</v>
      </c>
      <c r="AL13" s="431">
        <f t="shared" si="7"/>
        <v>650.43954477623197</v>
      </c>
      <c r="AM13" s="435">
        <f t="shared" si="7"/>
        <v>113.24868049164019</v>
      </c>
      <c r="AN13" s="430">
        <f t="shared" si="7"/>
        <v>0</v>
      </c>
      <c r="AO13" s="431">
        <f t="shared" si="7"/>
        <v>650.43954477623197</v>
      </c>
      <c r="AP13" s="434">
        <f t="shared" si="7"/>
        <v>82.287652632777721</v>
      </c>
      <c r="AQ13" s="427">
        <f t="shared" si="7"/>
        <v>0</v>
      </c>
      <c r="AR13" s="431">
        <f t="shared" si="7"/>
        <v>613.59150305280991</v>
      </c>
      <c r="AS13" s="435">
        <f t="shared" si="7"/>
        <v>0</v>
      </c>
      <c r="AT13" s="257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>
        <f t="shared" si="3"/>
        <v>0.11110654320737012</v>
      </c>
    </row>
    <row r="14" spans="1:57" ht="27.75" customHeight="1" x14ac:dyDescent="0.25">
      <c r="A14" s="406" t="s">
        <v>133</v>
      </c>
      <c r="B14" s="400" t="s">
        <v>134</v>
      </c>
      <c r="C14" s="427">
        <f t="shared" ref="C14:E14" si="8">C42+C92</f>
        <v>7813</v>
      </c>
      <c r="D14" s="428">
        <f t="shared" si="8"/>
        <v>4651.4625538923847</v>
      </c>
      <c r="E14" s="429">
        <f t="shared" si="8"/>
        <v>3161.1028254172584</v>
      </c>
      <c r="F14" s="430">
        <f t="shared" ref="F14:H14" si="9">F42+F92</f>
        <v>1804.896</v>
      </c>
      <c r="G14" s="431">
        <f t="shared" si="9"/>
        <v>107.56549652857012</v>
      </c>
      <c r="H14" s="431">
        <f t="shared" si="9"/>
        <v>522.41938121794362</v>
      </c>
      <c r="I14" s="432">
        <f t="shared" si="6"/>
        <v>1174.9111222534862</v>
      </c>
      <c r="J14" s="427">
        <f t="shared" ref="J14:AS14" si="10">J42+J92</f>
        <v>6007.6790000000001</v>
      </c>
      <c r="K14" s="431">
        <f t="shared" si="10"/>
        <v>1064.8907595067592</v>
      </c>
      <c r="L14" s="431">
        <f t="shared" si="10"/>
        <v>1973.3726873269002</v>
      </c>
      <c r="M14" s="433">
        <f t="shared" si="10"/>
        <v>2969.4155531663405</v>
      </c>
      <c r="N14" s="430">
        <f t="shared" si="10"/>
        <v>0</v>
      </c>
      <c r="O14" s="431">
        <f t="shared" si="10"/>
        <v>0</v>
      </c>
      <c r="P14" s="431">
        <f t="shared" si="10"/>
        <v>253.96834120504292</v>
      </c>
      <c r="Q14" s="432">
        <f t="shared" si="10"/>
        <v>-253.96834120504292</v>
      </c>
      <c r="R14" s="427">
        <f t="shared" si="10"/>
        <v>0</v>
      </c>
      <c r="S14" s="431">
        <f t="shared" si="10"/>
        <v>0</v>
      </c>
      <c r="T14" s="431">
        <f t="shared" si="10"/>
        <v>0</v>
      </c>
      <c r="U14" s="433">
        <f t="shared" si="10"/>
        <v>0</v>
      </c>
      <c r="V14" s="430">
        <f t="shared" si="10"/>
        <v>0</v>
      </c>
      <c r="W14" s="431">
        <f t="shared" si="10"/>
        <v>0</v>
      </c>
      <c r="X14" s="431">
        <f t="shared" si="10"/>
        <v>0</v>
      </c>
      <c r="Y14" s="434">
        <f t="shared" si="10"/>
        <v>0</v>
      </c>
      <c r="Z14" s="427">
        <f t="shared" si="10"/>
        <v>0</v>
      </c>
      <c r="AA14" s="431">
        <f t="shared" si="10"/>
        <v>0</v>
      </c>
      <c r="AB14" s="431">
        <f t="shared" si="10"/>
        <v>0</v>
      </c>
      <c r="AC14" s="435">
        <f t="shared" si="10"/>
        <v>0</v>
      </c>
      <c r="AD14" s="427">
        <f t="shared" si="10"/>
        <v>7812.5749999999998</v>
      </c>
      <c r="AE14" s="431">
        <f t="shared" si="10"/>
        <v>1172.4562560353293</v>
      </c>
      <c r="AF14" s="431">
        <f t="shared" si="10"/>
        <v>2749.760409749887</v>
      </c>
      <c r="AG14" s="433">
        <f t="shared" si="10"/>
        <v>3890.3583342147836</v>
      </c>
      <c r="AH14" s="430">
        <f t="shared" si="10"/>
        <v>0</v>
      </c>
      <c r="AI14" s="431">
        <f t="shared" si="10"/>
        <v>887.23583659681412</v>
      </c>
      <c r="AJ14" s="434">
        <f t="shared" si="10"/>
        <v>146.62939565416875</v>
      </c>
      <c r="AK14" s="427">
        <f t="shared" si="10"/>
        <v>0</v>
      </c>
      <c r="AL14" s="431">
        <f t="shared" si="10"/>
        <v>880.55152453008873</v>
      </c>
      <c r="AM14" s="435">
        <f t="shared" si="10"/>
        <v>153.31370772089417</v>
      </c>
      <c r="AN14" s="430">
        <f t="shared" si="10"/>
        <v>0</v>
      </c>
      <c r="AO14" s="431">
        <f t="shared" si="10"/>
        <v>880.55152453008873</v>
      </c>
      <c r="AP14" s="434">
        <f t="shared" si="10"/>
        <v>111.39931229230903</v>
      </c>
      <c r="AQ14" s="427">
        <f t="shared" si="10"/>
        <v>0</v>
      </c>
      <c r="AR14" s="431">
        <f t="shared" si="10"/>
        <v>830.66741220006418</v>
      </c>
      <c r="AS14" s="435">
        <f t="shared" si="10"/>
        <v>0</v>
      </c>
      <c r="AT14" s="257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>
        <f t="shared" si="3"/>
        <v>0.43462069035604145</v>
      </c>
    </row>
    <row r="15" spans="1:57" ht="30" x14ac:dyDescent="0.25">
      <c r="A15" s="406" t="s">
        <v>135</v>
      </c>
      <c r="B15" s="400" t="s">
        <v>136</v>
      </c>
      <c r="C15" s="427">
        <f t="shared" ref="C15:E15" si="11">C43+C93</f>
        <v>1737</v>
      </c>
      <c r="D15" s="428">
        <f t="shared" si="11"/>
        <v>1471.477849621941</v>
      </c>
      <c r="E15" s="429">
        <f t="shared" si="11"/>
        <v>265.52422251778512</v>
      </c>
      <c r="F15" s="430">
        <f t="shared" ref="F15:H15" si="12">F43+F93</f>
        <v>0</v>
      </c>
      <c r="G15" s="431">
        <f t="shared" si="12"/>
        <v>0</v>
      </c>
      <c r="H15" s="431">
        <f t="shared" si="12"/>
        <v>0</v>
      </c>
      <c r="I15" s="432">
        <f t="shared" si="6"/>
        <v>0</v>
      </c>
      <c r="J15" s="427">
        <f t="shared" ref="J15:AS15" si="13">J43+J93</f>
        <v>0</v>
      </c>
      <c r="K15" s="431">
        <f t="shared" si="13"/>
        <v>0</v>
      </c>
      <c r="L15" s="431">
        <f t="shared" si="13"/>
        <v>0</v>
      </c>
      <c r="M15" s="433">
        <f t="shared" si="13"/>
        <v>0</v>
      </c>
      <c r="N15" s="430">
        <f t="shared" si="13"/>
        <v>0</v>
      </c>
      <c r="O15" s="431">
        <f t="shared" si="13"/>
        <v>0</v>
      </c>
      <c r="P15" s="431">
        <f t="shared" si="13"/>
        <v>0</v>
      </c>
      <c r="Q15" s="432">
        <f t="shared" si="13"/>
        <v>0</v>
      </c>
      <c r="R15" s="427">
        <f t="shared" si="13"/>
        <v>1737.0039999999999</v>
      </c>
      <c r="S15" s="431">
        <f t="shared" si="13"/>
        <v>774.33057791368901</v>
      </c>
      <c r="T15" s="431">
        <f t="shared" si="13"/>
        <v>183.09659282449368</v>
      </c>
      <c r="U15" s="433">
        <f t="shared" si="13"/>
        <v>779.57682926181724</v>
      </c>
      <c r="V15" s="430">
        <f t="shared" si="13"/>
        <v>0</v>
      </c>
      <c r="W15" s="431">
        <f t="shared" si="13"/>
        <v>0</v>
      </c>
      <c r="X15" s="431">
        <f t="shared" si="13"/>
        <v>0</v>
      </c>
      <c r="Y15" s="434">
        <f t="shared" si="13"/>
        <v>0</v>
      </c>
      <c r="Z15" s="427">
        <f t="shared" si="13"/>
        <v>0</v>
      </c>
      <c r="AA15" s="431">
        <f t="shared" si="13"/>
        <v>0</v>
      </c>
      <c r="AB15" s="431">
        <f t="shared" si="13"/>
        <v>0</v>
      </c>
      <c r="AC15" s="435">
        <f t="shared" si="13"/>
        <v>0</v>
      </c>
      <c r="AD15" s="427">
        <f t="shared" si="13"/>
        <v>1737.0039999999999</v>
      </c>
      <c r="AE15" s="431">
        <f t="shared" si="13"/>
        <v>774.33057791368901</v>
      </c>
      <c r="AF15" s="431">
        <f t="shared" si="13"/>
        <v>183.09659282449368</v>
      </c>
      <c r="AG15" s="433">
        <f t="shared" si="13"/>
        <v>779.57682926181724</v>
      </c>
      <c r="AH15" s="430">
        <f t="shared" si="13"/>
        <v>0</v>
      </c>
      <c r="AI15" s="431">
        <f t="shared" si="13"/>
        <v>177.79043493719817</v>
      </c>
      <c r="AJ15" s="434">
        <f t="shared" si="13"/>
        <v>29.38260939495823</v>
      </c>
      <c r="AK15" s="427">
        <f t="shared" si="13"/>
        <v>0</v>
      </c>
      <c r="AL15" s="431">
        <f t="shared" si="13"/>
        <v>176.45098639310251</v>
      </c>
      <c r="AM15" s="435">
        <f t="shared" si="13"/>
        <v>30.722057939053865</v>
      </c>
      <c r="AN15" s="430">
        <f t="shared" si="13"/>
        <v>0</v>
      </c>
      <c r="AO15" s="431">
        <f t="shared" si="13"/>
        <v>176.45098639310251</v>
      </c>
      <c r="AP15" s="434">
        <f t="shared" si="13"/>
        <v>22.32296235927933</v>
      </c>
      <c r="AQ15" s="427">
        <f t="shared" si="13"/>
        <v>0</v>
      </c>
      <c r="AR15" s="431">
        <f t="shared" si="13"/>
        <v>166.45486398484886</v>
      </c>
      <c r="AS15" s="435">
        <f t="shared" si="13"/>
        <v>0</v>
      </c>
      <c r="AT15" s="257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>
        <f t="shared" si="3"/>
        <v>-2.0721397260956564E-3</v>
      </c>
    </row>
    <row r="16" spans="1:57" ht="30" x14ac:dyDescent="0.25">
      <c r="A16" s="406" t="s">
        <v>137</v>
      </c>
      <c r="B16" s="400" t="s">
        <v>138</v>
      </c>
      <c r="C16" s="427">
        <f t="shared" ref="C16:E16" si="14">C44+C94</f>
        <v>1928</v>
      </c>
      <c r="D16" s="428">
        <f t="shared" si="14"/>
        <v>1514.9940930054188</v>
      </c>
      <c r="E16" s="429">
        <f t="shared" si="14"/>
        <v>412.53551786899283</v>
      </c>
      <c r="F16" s="430">
        <f t="shared" ref="F16:H16" si="15">F44+F94</f>
        <v>0</v>
      </c>
      <c r="G16" s="431">
        <f t="shared" si="15"/>
        <v>0</v>
      </c>
      <c r="H16" s="431">
        <f t="shared" si="15"/>
        <v>0</v>
      </c>
      <c r="I16" s="432">
        <f t="shared" si="6"/>
        <v>0</v>
      </c>
      <c r="J16" s="427">
        <f t="shared" ref="J16:AS16" si="16">J44+J94</f>
        <v>0</v>
      </c>
      <c r="K16" s="431">
        <f t="shared" si="16"/>
        <v>0</v>
      </c>
      <c r="L16" s="431">
        <f t="shared" si="16"/>
        <v>0</v>
      </c>
      <c r="M16" s="433">
        <f t="shared" si="16"/>
        <v>0</v>
      </c>
      <c r="N16" s="430">
        <f t="shared" si="16"/>
        <v>0</v>
      </c>
      <c r="O16" s="431">
        <f t="shared" si="16"/>
        <v>0</v>
      </c>
      <c r="P16" s="431">
        <f t="shared" si="16"/>
        <v>0</v>
      </c>
      <c r="Q16" s="432">
        <f t="shared" si="16"/>
        <v>0</v>
      </c>
      <c r="R16" s="427">
        <f t="shared" si="16"/>
        <v>0</v>
      </c>
      <c r="S16" s="431">
        <f t="shared" si="16"/>
        <v>0</v>
      </c>
      <c r="T16" s="431">
        <f t="shared" si="16"/>
        <v>0</v>
      </c>
      <c r="U16" s="433">
        <f t="shared" si="16"/>
        <v>0</v>
      </c>
      <c r="V16" s="430">
        <f t="shared" si="16"/>
        <v>0</v>
      </c>
      <c r="W16" s="431">
        <f t="shared" si="16"/>
        <v>0</v>
      </c>
      <c r="X16" s="431">
        <f t="shared" si="16"/>
        <v>0</v>
      </c>
      <c r="Y16" s="434">
        <f t="shared" si="16"/>
        <v>0</v>
      </c>
      <c r="Z16" s="427">
        <f t="shared" si="16"/>
        <v>1927.53</v>
      </c>
      <c r="AA16" s="431">
        <f t="shared" si="16"/>
        <v>1374.2796200273394</v>
      </c>
      <c r="AB16" s="431">
        <f t="shared" si="16"/>
        <v>395.89805697396156</v>
      </c>
      <c r="AC16" s="435">
        <f t="shared" si="16"/>
        <v>157.35232299869898</v>
      </c>
      <c r="AD16" s="427">
        <f t="shared" si="16"/>
        <v>1927.53</v>
      </c>
      <c r="AE16" s="431">
        <f t="shared" si="16"/>
        <v>1374.2796200273394</v>
      </c>
      <c r="AF16" s="431">
        <f t="shared" si="16"/>
        <v>395.89805697396156</v>
      </c>
      <c r="AG16" s="433">
        <f t="shared" si="16"/>
        <v>157.35232299869898</v>
      </c>
      <c r="AH16" s="430">
        <f t="shared" si="16"/>
        <v>0</v>
      </c>
      <c r="AI16" s="431">
        <f t="shared" si="16"/>
        <v>35.885799698289468</v>
      </c>
      <c r="AJ16" s="434">
        <f t="shared" si="16"/>
        <v>5.9306814550119471</v>
      </c>
      <c r="AK16" s="427">
        <f t="shared" si="16"/>
        <v>0</v>
      </c>
      <c r="AL16" s="431">
        <f t="shared" si="16"/>
        <v>35.615441047237397</v>
      </c>
      <c r="AM16" s="435">
        <f t="shared" si="16"/>
        <v>6.2010401060640161</v>
      </c>
      <c r="AN16" s="430">
        <f t="shared" si="16"/>
        <v>0</v>
      </c>
      <c r="AO16" s="431">
        <f t="shared" si="16"/>
        <v>35.615441047237397</v>
      </c>
      <c r="AP16" s="434">
        <f t="shared" si="16"/>
        <v>4.5057393339552947</v>
      </c>
      <c r="AQ16" s="427">
        <f t="shared" si="16"/>
        <v>0</v>
      </c>
      <c r="AR16" s="431">
        <f t="shared" si="16"/>
        <v>33.597791185314925</v>
      </c>
      <c r="AS16" s="435">
        <f t="shared" si="16"/>
        <v>0</v>
      </c>
      <c r="AT16" s="257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>
        <f t="shared" si="3"/>
        <v>0.47038912558855372</v>
      </c>
    </row>
    <row r="17" spans="1:57" ht="30" x14ac:dyDescent="0.25">
      <c r="A17" s="406" t="s">
        <v>139</v>
      </c>
      <c r="B17" s="400" t="s">
        <v>140</v>
      </c>
      <c r="C17" s="427">
        <f t="shared" ref="C17:E17" si="17">C45+C95</f>
        <v>1024</v>
      </c>
      <c r="D17" s="428">
        <f t="shared" si="17"/>
        <v>924.91623611633236</v>
      </c>
      <c r="E17" s="429">
        <f t="shared" si="17"/>
        <v>98.929014244166865</v>
      </c>
      <c r="F17" s="430">
        <f t="shared" ref="F17:H17" si="18">F45+F95</f>
        <v>0</v>
      </c>
      <c r="G17" s="431">
        <f t="shared" si="18"/>
        <v>0</v>
      </c>
      <c r="H17" s="431">
        <f t="shared" si="18"/>
        <v>0</v>
      </c>
      <c r="I17" s="432">
        <f t="shared" si="6"/>
        <v>0</v>
      </c>
      <c r="J17" s="427">
        <f t="shared" ref="J17:AS17" si="19">J45+J95</f>
        <v>0</v>
      </c>
      <c r="K17" s="431">
        <f t="shared" si="19"/>
        <v>0</v>
      </c>
      <c r="L17" s="431">
        <f t="shared" si="19"/>
        <v>0</v>
      </c>
      <c r="M17" s="433">
        <f t="shared" si="19"/>
        <v>0</v>
      </c>
      <c r="N17" s="430">
        <f t="shared" si="19"/>
        <v>0</v>
      </c>
      <c r="O17" s="431">
        <f t="shared" si="19"/>
        <v>0</v>
      </c>
      <c r="P17" s="431">
        <f t="shared" si="19"/>
        <v>0</v>
      </c>
      <c r="Q17" s="432">
        <f t="shared" si="19"/>
        <v>0</v>
      </c>
      <c r="R17" s="427">
        <f t="shared" si="19"/>
        <v>0</v>
      </c>
      <c r="S17" s="431">
        <f t="shared" si="19"/>
        <v>0</v>
      </c>
      <c r="T17" s="431">
        <f t="shared" si="19"/>
        <v>0</v>
      </c>
      <c r="U17" s="433">
        <f t="shared" si="19"/>
        <v>0</v>
      </c>
      <c r="V17" s="430">
        <f t="shared" si="19"/>
        <v>1023.846</v>
      </c>
      <c r="W17" s="431">
        <f t="shared" si="19"/>
        <v>653.83376198866802</v>
      </c>
      <c r="X17" s="431">
        <f t="shared" si="19"/>
        <v>66.877413814053796</v>
      </c>
      <c r="Y17" s="434">
        <f t="shared" si="19"/>
        <v>303.13482419727819</v>
      </c>
      <c r="Z17" s="427">
        <f t="shared" si="19"/>
        <v>0</v>
      </c>
      <c r="AA17" s="431">
        <f t="shared" si="19"/>
        <v>0</v>
      </c>
      <c r="AB17" s="431">
        <f t="shared" si="19"/>
        <v>0</v>
      </c>
      <c r="AC17" s="435">
        <f t="shared" si="19"/>
        <v>0</v>
      </c>
      <c r="AD17" s="427">
        <f t="shared" si="19"/>
        <v>1023.846</v>
      </c>
      <c r="AE17" s="431">
        <f t="shared" si="19"/>
        <v>653.83376198866802</v>
      </c>
      <c r="AF17" s="431">
        <f t="shared" si="19"/>
        <v>66.877413814053796</v>
      </c>
      <c r="AG17" s="433">
        <f t="shared" si="19"/>
        <v>303.13482419727819</v>
      </c>
      <c r="AH17" s="430">
        <f t="shared" si="19"/>
        <v>0</v>
      </c>
      <c r="AI17" s="431">
        <f t="shared" si="19"/>
        <v>69.13298371076263</v>
      </c>
      <c r="AJ17" s="434">
        <f t="shared" si="19"/>
        <v>11.425291002853319</v>
      </c>
      <c r="AK17" s="427">
        <f t="shared" si="19"/>
        <v>0</v>
      </c>
      <c r="AL17" s="431">
        <f t="shared" si="19"/>
        <v>68.612145374251014</v>
      </c>
      <c r="AM17" s="435">
        <f t="shared" si="19"/>
        <v>11.946129339364942</v>
      </c>
      <c r="AN17" s="430">
        <f t="shared" si="19"/>
        <v>0</v>
      </c>
      <c r="AO17" s="431">
        <f t="shared" si="19"/>
        <v>68.612145374251014</v>
      </c>
      <c r="AP17" s="434">
        <f t="shared" si="19"/>
        <v>8.6801800878948114</v>
      </c>
      <c r="AQ17" s="427">
        <f t="shared" si="19"/>
        <v>0</v>
      </c>
      <c r="AR17" s="431">
        <f t="shared" si="19"/>
        <v>64.72519966839964</v>
      </c>
      <c r="AS17" s="435">
        <f t="shared" si="19"/>
        <v>0</v>
      </c>
      <c r="AT17" s="257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>
        <f t="shared" si="3"/>
        <v>0.15474963950080678</v>
      </c>
    </row>
    <row r="18" spans="1:57" ht="30" x14ac:dyDescent="0.25">
      <c r="A18" s="406" t="s">
        <v>141</v>
      </c>
      <c r="B18" s="400" t="s">
        <v>142</v>
      </c>
      <c r="C18" s="427">
        <f t="shared" ref="C18:E18" si="20">C46+C96</f>
        <v>253</v>
      </c>
      <c r="D18" s="428">
        <f t="shared" si="20"/>
        <v>154.74920423054715</v>
      </c>
      <c r="E18" s="429">
        <f t="shared" si="20"/>
        <v>98.577485312777569</v>
      </c>
      <c r="F18" s="430">
        <f t="shared" ref="F18:H18" si="21">F46+F96</f>
        <v>20.574000000000002</v>
      </c>
      <c r="G18" s="431">
        <f t="shared" si="21"/>
        <v>1.2261385285239714</v>
      </c>
      <c r="H18" s="431">
        <f t="shared" si="21"/>
        <v>5.9550557756114326</v>
      </c>
      <c r="I18" s="432">
        <f t="shared" si="6"/>
        <v>13.392805695864597</v>
      </c>
      <c r="J18" s="427">
        <f t="shared" ref="J18:AS18" si="22">J46+J96</f>
        <v>232.75299999999999</v>
      </c>
      <c r="K18" s="431">
        <f t="shared" si="22"/>
        <v>41.256618229348923</v>
      </c>
      <c r="L18" s="431">
        <f t="shared" si="22"/>
        <v>76.453554374892192</v>
      </c>
      <c r="M18" s="433">
        <f t="shared" si="22"/>
        <v>115.04282739575886</v>
      </c>
      <c r="N18" s="430">
        <f t="shared" si="22"/>
        <v>0</v>
      </c>
      <c r="O18" s="431">
        <f t="shared" si="22"/>
        <v>0</v>
      </c>
      <c r="P18" s="431">
        <f t="shared" si="22"/>
        <v>2.8949837840809409</v>
      </c>
      <c r="Q18" s="432">
        <f t="shared" si="22"/>
        <v>-2.8949837840809409</v>
      </c>
      <c r="R18" s="427">
        <f t="shared" si="22"/>
        <v>0</v>
      </c>
      <c r="S18" s="431">
        <f t="shared" si="22"/>
        <v>0</v>
      </c>
      <c r="T18" s="431">
        <f t="shared" si="22"/>
        <v>0</v>
      </c>
      <c r="U18" s="433">
        <f t="shared" si="22"/>
        <v>0</v>
      </c>
      <c r="V18" s="430">
        <f t="shared" si="22"/>
        <v>0</v>
      </c>
      <c r="W18" s="431">
        <f t="shared" si="22"/>
        <v>0</v>
      </c>
      <c r="X18" s="431">
        <f t="shared" si="22"/>
        <v>0</v>
      </c>
      <c r="Y18" s="434">
        <f t="shared" si="22"/>
        <v>0</v>
      </c>
      <c r="Z18" s="427">
        <f t="shared" si="22"/>
        <v>0</v>
      </c>
      <c r="AA18" s="431">
        <f t="shared" si="22"/>
        <v>0</v>
      </c>
      <c r="AB18" s="431">
        <f t="shared" si="22"/>
        <v>0</v>
      </c>
      <c r="AC18" s="435">
        <f t="shared" si="22"/>
        <v>0</v>
      </c>
      <c r="AD18" s="427">
        <f t="shared" si="22"/>
        <v>253.327</v>
      </c>
      <c r="AE18" s="431">
        <f t="shared" si="22"/>
        <v>42.482756757872892</v>
      </c>
      <c r="AF18" s="431">
        <f t="shared" si="22"/>
        <v>85.303593934584555</v>
      </c>
      <c r="AG18" s="433">
        <f t="shared" si="22"/>
        <v>125.54064930754252</v>
      </c>
      <c r="AH18" s="430">
        <f t="shared" si="22"/>
        <v>0</v>
      </c>
      <c r="AI18" s="431">
        <f t="shared" si="22"/>
        <v>28.6308235505422</v>
      </c>
      <c r="AJ18" s="434">
        <f t="shared" si="22"/>
        <v>4.7316848363564166</v>
      </c>
      <c r="AK18" s="427">
        <f t="shared" si="22"/>
        <v>0</v>
      </c>
      <c r="AL18" s="431">
        <f t="shared" si="22"/>
        <v>28.415122886248422</v>
      </c>
      <c r="AM18" s="435">
        <f t="shared" si="22"/>
        <v>4.9473855006501912</v>
      </c>
      <c r="AN18" s="430">
        <f t="shared" si="22"/>
        <v>0</v>
      </c>
      <c r="AO18" s="431">
        <f t="shared" si="22"/>
        <v>28.415122886248422</v>
      </c>
      <c r="AP18" s="434">
        <f t="shared" si="22"/>
        <v>3.5948210411864006</v>
      </c>
      <c r="AQ18" s="427">
        <f t="shared" si="22"/>
        <v>0</v>
      </c>
      <c r="AR18" s="431">
        <f t="shared" si="22"/>
        <v>26.805378149635192</v>
      </c>
      <c r="AS18" s="435">
        <f t="shared" si="22"/>
        <v>0</v>
      </c>
      <c r="AT18" s="257"/>
      <c r="AU18" s="238"/>
      <c r="AV18" s="238"/>
      <c r="AW18" s="238"/>
      <c r="AX18" s="238"/>
      <c r="AY18" s="238"/>
      <c r="AZ18" s="238"/>
      <c r="BA18" s="238"/>
      <c r="BB18" s="238"/>
      <c r="BC18" s="238"/>
      <c r="BD18" s="238"/>
      <c r="BE18" s="238">
        <f t="shared" si="3"/>
        <v>-0.32668954332470435</v>
      </c>
    </row>
    <row r="19" spans="1:57" s="381" customFormat="1" ht="18" customHeight="1" x14ac:dyDescent="0.25">
      <c r="A19" s="405" t="s">
        <v>143</v>
      </c>
      <c r="B19" s="399"/>
      <c r="C19" s="436">
        <f t="shared" ref="C19:E19" si="23">C47+C97</f>
        <v>65996</v>
      </c>
      <c r="D19" s="437">
        <f t="shared" si="23"/>
        <v>45925.947494444437</v>
      </c>
      <c r="E19" s="438">
        <f t="shared" si="23"/>
        <v>20069.617505555547</v>
      </c>
      <c r="F19" s="439">
        <f t="shared" ref="F19:H19" si="24">F47+F97</f>
        <v>20627.878000000001</v>
      </c>
      <c r="G19" s="440">
        <f t="shared" si="24"/>
        <v>1229.3494691111111</v>
      </c>
      <c r="H19" s="440">
        <f t="shared" si="24"/>
        <v>5970.6505308888873</v>
      </c>
      <c r="I19" s="441">
        <f t="shared" si="6"/>
        <v>13427.878000000001</v>
      </c>
      <c r="J19" s="436">
        <f t="shared" ref="J19:AS19" si="25">J47+J97</f>
        <v>14236.846000000001</v>
      </c>
      <c r="K19" s="440">
        <f t="shared" si="25"/>
        <v>2523.5512333333336</v>
      </c>
      <c r="L19" s="440">
        <f t="shared" si="25"/>
        <v>4676.4487666666664</v>
      </c>
      <c r="M19" s="442">
        <f t="shared" si="25"/>
        <v>7036.8460000000014</v>
      </c>
      <c r="N19" s="439">
        <f t="shared" si="25"/>
        <v>0</v>
      </c>
      <c r="O19" s="440">
        <f t="shared" si="25"/>
        <v>0</v>
      </c>
      <c r="P19" s="440">
        <f t="shared" si="25"/>
        <v>2902.5649999999996</v>
      </c>
      <c r="Q19" s="441">
        <f t="shared" si="25"/>
        <v>-2902.5649999999996</v>
      </c>
      <c r="R19" s="436">
        <f t="shared" si="25"/>
        <v>13062.538</v>
      </c>
      <c r="S19" s="440">
        <f t="shared" si="25"/>
        <v>5823.0853806666673</v>
      </c>
      <c r="T19" s="440">
        <f t="shared" si="25"/>
        <v>1376.9146193333327</v>
      </c>
      <c r="U19" s="442">
        <f t="shared" si="25"/>
        <v>5862.5380000000005</v>
      </c>
      <c r="V19" s="439">
        <f t="shared" si="25"/>
        <v>10228.357</v>
      </c>
      <c r="W19" s="440">
        <f t="shared" si="25"/>
        <v>6531.8857877777773</v>
      </c>
      <c r="X19" s="440">
        <f t="shared" si="25"/>
        <v>668.1142122222227</v>
      </c>
      <c r="Y19" s="443">
        <f t="shared" si="25"/>
        <v>3028.357</v>
      </c>
      <c r="Z19" s="436">
        <f t="shared" si="25"/>
        <v>7840.0129999999999</v>
      </c>
      <c r="AA19" s="440">
        <f t="shared" si="25"/>
        <v>5589.7288688888893</v>
      </c>
      <c r="AB19" s="440">
        <f t="shared" si="25"/>
        <v>1610.2711311111107</v>
      </c>
      <c r="AC19" s="444">
        <f t="shared" si="25"/>
        <v>640.01299999999992</v>
      </c>
      <c r="AD19" s="436">
        <f t="shared" si="25"/>
        <v>65995.632000000012</v>
      </c>
      <c r="AE19" s="440">
        <f t="shared" si="25"/>
        <v>21697.600739777779</v>
      </c>
      <c r="AF19" s="440">
        <f t="shared" si="25"/>
        <v>17204.964260222216</v>
      </c>
      <c r="AG19" s="442">
        <f t="shared" si="25"/>
        <v>27093.067000000003</v>
      </c>
      <c r="AH19" s="439">
        <f t="shared" si="25"/>
        <v>0</v>
      </c>
      <c r="AI19" s="440">
        <f t="shared" si="25"/>
        <v>6178.8498386666661</v>
      </c>
      <c r="AJ19" s="443">
        <f t="shared" si="25"/>
        <v>1021.1501613333329</v>
      </c>
      <c r="AK19" s="436">
        <f t="shared" si="25"/>
        <v>0</v>
      </c>
      <c r="AL19" s="440">
        <f t="shared" si="25"/>
        <v>6132.2992386666647</v>
      </c>
      <c r="AM19" s="444">
        <f t="shared" si="25"/>
        <v>1067.7007613333335</v>
      </c>
      <c r="AN19" s="439">
        <f t="shared" si="25"/>
        <v>0</v>
      </c>
      <c r="AO19" s="440">
        <f t="shared" si="25"/>
        <v>6132.2992386666647</v>
      </c>
      <c r="AP19" s="443">
        <f t="shared" si="25"/>
        <v>775.80232266666621</v>
      </c>
      <c r="AQ19" s="436">
        <f t="shared" si="25"/>
        <v>0</v>
      </c>
      <c r="AR19" s="440">
        <f t="shared" si="25"/>
        <v>5784.8984386666671</v>
      </c>
      <c r="AS19" s="444">
        <f t="shared" si="25"/>
        <v>0</v>
      </c>
      <c r="AT19" s="320"/>
      <c r="AU19" s="382"/>
      <c r="AV19" s="382"/>
      <c r="AW19" s="382"/>
      <c r="AX19" s="382"/>
      <c r="AY19" s="382"/>
      <c r="AZ19" s="382"/>
      <c r="BA19" s="382"/>
      <c r="BB19" s="382"/>
      <c r="BC19" s="382"/>
      <c r="BD19" s="382"/>
      <c r="BE19" s="382">
        <f t="shared" si="3"/>
        <v>0.43500000001222361</v>
      </c>
    </row>
    <row r="20" spans="1:57" s="381" customFormat="1" ht="36.75" customHeight="1" x14ac:dyDescent="0.25">
      <c r="A20" s="405" t="s">
        <v>144</v>
      </c>
      <c r="B20" s="399" t="s">
        <v>145</v>
      </c>
      <c r="C20" s="436">
        <f t="shared" ref="C20:E20" si="26">C48+C98</f>
        <v>0</v>
      </c>
      <c r="D20" s="437">
        <f t="shared" si="26"/>
        <v>0</v>
      </c>
      <c r="E20" s="438">
        <f t="shared" si="26"/>
        <v>0</v>
      </c>
      <c r="F20" s="439">
        <f t="shared" ref="F20:H20" si="27">F48+F98</f>
        <v>0</v>
      </c>
      <c r="G20" s="440">
        <f t="shared" si="27"/>
        <v>0</v>
      </c>
      <c r="H20" s="440">
        <f t="shared" si="27"/>
        <v>0</v>
      </c>
      <c r="I20" s="441"/>
      <c r="J20" s="436">
        <f t="shared" ref="J20:AS20" si="28">J48+J98</f>
        <v>0</v>
      </c>
      <c r="K20" s="440">
        <f t="shared" si="28"/>
        <v>0</v>
      </c>
      <c r="L20" s="440">
        <f t="shared" si="28"/>
        <v>0</v>
      </c>
      <c r="M20" s="442">
        <f t="shared" si="28"/>
        <v>0</v>
      </c>
      <c r="N20" s="439">
        <f t="shared" si="28"/>
        <v>0</v>
      </c>
      <c r="O20" s="440">
        <f t="shared" si="28"/>
        <v>0</v>
      </c>
      <c r="P20" s="440">
        <f t="shared" si="28"/>
        <v>0</v>
      </c>
      <c r="Q20" s="441">
        <f t="shared" si="28"/>
        <v>0</v>
      </c>
      <c r="R20" s="436">
        <f t="shared" si="28"/>
        <v>0</v>
      </c>
      <c r="S20" s="440">
        <f t="shared" si="28"/>
        <v>0</v>
      </c>
      <c r="T20" s="440">
        <f t="shared" si="28"/>
        <v>0</v>
      </c>
      <c r="U20" s="442">
        <f t="shared" si="28"/>
        <v>0</v>
      </c>
      <c r="V20" s="439">
        <f t="shared" si="28"/>
        <v>0</v>
      </c>
      <c r="W20" s="440">
        <f t="shared" si="28"/>
        <v>0</v>
      </c>
      <c r="X20" s="440">
        <f t="shared" si="28"/>
        <v>0</v>
      </c>
      <c r="Y20" s="443">
        <f t="shared" si="28"/>
        <v>0</v>
      </c>
      <c r="Z20" s="436">
        <f t="shared" si="28"/>
        <v>0</v>
      </c>
      <c r="AA20" s="440">
        <f t="shared" si="28"/>
        <v>0</v>
      </c>
      <c r="AB20" s="440">
        <f t="shared" si="28"/>
        <v>0</v>
      </c>
      <c r="AC20" s="444">
        <f t="shared" si="28"/>
        <v>0</v>
      </c>
      <c r="AD20" s="436">
        <f t="shared" si="28"/>
        <v>0</v>
      </c>
      <c r="AE20" s="440">
        <f t="shared" si="28"/>
        <v>0</v>
      </c>
      <c r="AF20" s="440">
        <f t="shared" si="28"/>
        <v>0</v>
      </c>
      <c r="AG20" s="442">
        <f t="shared" si="28"/>
        <v>0</v>
      </c>
      <c r="AH20" s="439">
        <f t="shared" si="28"/>
        <v>0</v>
      </c>
      <c r="AI20" s="440">
        <f t="shared" si="28"/>
        <v>0</v>
      </c>
      <c r="AJ20" s="443">
        <f t="shared" si="28"/>
        <v>0</v>
      </c>
      <c r="AK20" s="436">
        <f t="shared" si="28"/>
        <v>0</v>
      </c>
      <c r="AL20" s="440">
        <f t="shared" si="28"/>
        <v>0</v>
      </c>
      <c r="AM20" s="444">
        <f t="shared" si="28"/>
        <v>0</v>
      </c>
      <c r="AN20" s="439">
        <f t="shared" si="28"/>
        <v>0</v>
      </c>
      <c r="AO20" s="440">
        <f t="shared" si="28"/>
        <v>0</v>
      </c>
      <c r="AP20" s="443">
        <f t="shared" si="28"/>
        <v>0</v>
      </c>
      <c r="AQ20" s="436">
        <f t="shared" si="28"/>
        <v>0</v>
      </c>
      <c r="AR20" s="440">
        <f t="shared" si="28"/>
        <v>0</v>
      </c>
      <c r="AS20" s="444">
        <f t="shared" si="28"/>
        <v>0</v>
      </c>
      <c r="AT20" s="320"/>
      <c r="AU20" s="382"/>
      <c r="AV20" s="382"/>
      <c r="AW20" s="382"/>
      <c r="AX20" s="382"/>
      <c r="AY20" s="382"/>
      <c r="AZ20" s="382"/>
      <c r="BA20" s="382"/>
      <c r="BB20" s="382"/>
      <c r="BC20" s="382"/>
      <c r="BD20" s="382"/>
      <c r="BE20" s="382">
        <f t="shared" si="3"/>
        <v>0</v>
      </c>
    </row>
    <row r="21" spans="1:57" ht="28.5" customHeight="1" x14ac:dyDescent="0.25">
      <c r="A21" s="406" t="s">
        <v>146</v>
      </c>
      <c r="B21" s="400" t="s">
        <v>147</v>
      </c>
      <c r="C21" s="427">
        <f t="shared" ref="C21:E21" si="29">C49+C99</f>
        <v>4843</v>
      </c>
      <c r="D21" s="428">
        <f t="shared" si="29"/>
        <v>0</v>
      </c>
      <c r="E21" s="429">
        <f t="shared" si="29"/>
        <v>4843</v>
      </c>
      <c r="F21" s="430">
        <f t="shared" ref="F21" si="30">F49+F99</f>
        <v>4843.3140000000003</v>
      </c>
      <c r="G21" s="431">
        <f t="shared" ref="G21:H23" si="31">G49+G99</f>
        <v>0</v>
      </c>
      <c r="H21" s="431">
        <f t="shared" si="31"/>
        <v>968.6</v>
      </c>
      <c r="I21" s="432"/>
      <c r="J21" s="427">
        <f t="shared" ref="J21:AS21" si="32">J49+J99</f>
        <v>0</v>
      </c>
      <c r="K21" s="431">
        <f t="shared" si="32"/>
        <v>0</v>
      </c>
      <c r="L21" s="431">
        <f t="shared" si="32"/>
        <v>968.6</v>
      </c>
      <c r="M21" s="433">
        <f t="shared" si="32"/>
        <v>0</v>
      </c>
      <c r="N21" s="430">
        <f t="shared" si="32"/>
        <v>0</v>
      </c>
      <c r="O21" s="431">
        <f t="shared" si="32"/>
        <v>0</v>
      </c>
      <c r="P21" s="431">
        <f t="shared" si="32"/>
        <v>968.6</v>
      </c>
      <c r="Q21" s="432">
        <f t="shared" si="32"/>
        <v>0</v>
      </c>
      <c r="R21" s="427">
        <f t="shared" si="32"/>
        <v>0</v>
      </c>
      <c r="S21" s="431">
        <f t="shared" si="32"/>
        <v>0</v>
      </c>
      <c r="T21" s="431">
        <f t="shared" si="32"/>
        <v>968.6</v>
      </c>
      <c r="U21" s="433">
        <f t="shared" si="32"/>
        <v>0</v>
      </c>
      <c r="V21" s="430">
        <f t="shared" si="32"/>
        <v>0</v>
      </c>
      <c r="W21" s="431">
        <f t="shared" si="32"/>
        <v>0</v>
      </c>
      <c r="X21" s="431">
        <f t="shared" si="32"/>
        <v>968.6</v>
      </c>
      <c r="Y21" s="434">
        <f t="shared" si="32"/>
        <v>0</v>
      </c>
      <c r="Z21" s="427">
        <f t="shared" si="32"/>
        <v>0</v>
      </c>
      <c r="AA21" s="431">
        <f t="shared" si="32"/>
        <v>0</v>
      </c>
      <c r="AB21" s="431">
        <f t="shared" si="32"/>
        <v>0</v>
      </c>
      <c r="AC21" s="435">
        <f t="shared" si="32"/>
        <v>0</v>
      </c>
      <c r="AD21" s="427">
        <f t="shared" si="32"/>
        <v>4843.3140000000003</v>
      </c>
      <c r="AE21" s="431">
        <f t="shared" si="32"/>
        <v>0</v>
      </c>
      <c r="AF21" s="431">
        <f t="shared" si="32"/>
        <v>4843</v>
      </c>
      <c r="AG21" s="433">
        <f t="shared" si="32"/>
        <v>0</v>
      </c>
      <c r="AH21" s="430">
        <f t="shared" si="32"/>
        <v>0</v>
      </c>
      <c r="AI21" s="431">
        <f t="shared" si="32"/>
        <v>0</v>
      </c>
      <c r="AJ21" s="434">
        <f t="shared" si="32"/>
        <v>0</v>
      </c>
      <c r="AK21" s="427">
        <f t="shared" si="32"/>
        <v>0</v>
      </c>
      <c r="AL21" s="431">
        <f t="shared" si="32"/>
        <v>0</v>
      </c>
      <c r="AM21" s="435">
        <f t="shared" si="32"/>
        <v>0</v>
      </c>
      <c r="AN21" s="430">
        <f t="shared" si="32"/>
        <v>0</v>
      </c>
      <c r="AO21" s="431">
        <f t="shared" si="32"/>
        <v>0</v>
      </c>
      <c r="AP21" s="434">
        <f t="shared" si="32"/>
        <v>0</v>
      </c>
      <c r="AQ21" s="427">
        <f t="shared" si="32"/>
        <v>0</v>
      </c>
      <c r="AR21" s="431">
        <f t="shared" si="32"/>
        <v>0</v>
      </c>
      <c r="AS21" s="435">
        <f t="shared" si="32"/>
        <v>0</v>
      </c>
      <c r="AT21" s="257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8">
        <f t="shared" si="3"/>
        <v>0</v>
      </c>
    </row>
    <row r="22" spans="1:57" ht="28.5" customHeight="1" x14ac:dyDescent="0.25">
      <c r="A22" s="406" t="s">
        <v>148</v>
      </c>
      <c r="B22" s="400" t="s">
        <v>149</v>
      </c>
      <c r="C22" s="427">
        <f t="shared" ref="C22:E22" si="33">C50+C100</f>
        <v>3213</v>
      </c>
      <c r="D22" s="428">
        <f t="shared" si="33"/>
        <v>0</v>
      </c>
      <c r="E22" s="429">
        <f t="shared" si="33"/>
        <v>3213</v>
      </c>
      <c r="F22" s="430">
        <f t="shared" ref="F22" si="34">F50+F100</f>
        <v>3212.8429999999998</v>
      </c>
      <c r="G22" s="431">
        <f t="shared" si="31"/>
        <v>0</v>
      </c>
      <c r="H22" s="431">
        <f t="shared" si="31"/>
        <v>642.6</v>
      </c>
      <c r="I22" s="432"/>
      <c r="J22" s="427">
        <f t="shared" ref="J22:AS22" si="35">J50+J100</f>
        <v>0</v>
      </c>
      <c r="K22" s="431">
        <f t="shared" si="35"/>
        <v>0</v>
      </c>
      <c r="L22" s="431">
        <f t="shared" si="35"/>
        <v>642.6</v>
      </c>
      <c r="M22" s="433">
        <f t="shared" si="35"/>
        <v>0</v>
      </c>
      <c r="N22" s="430">
        <f t="shared" si="35"/>
        <v>0</v>
      </c>
      <c r="O22" s="431">
        <f t="shared" si="35"/>
        <v>0</v>
      </c>
      <c r="P22" s="431">
        <f t="shared" si="35"/>
        <v>642.6</v>
      </c>
      <c r="Q22" s="432">
        <f t="shared" si="35"/>
        <v>0</v>
      </c>
      <c r="R22" s="427">
        <f t="shared" si="35"/>
        <v>0</v>
      </c>
      <c r="S22" s="431">
        <f t="shared" si="35"/>
        <v>0</v>
      </c>
      <c r="T22" s="431">
        <f t="shared" si="35"/>
        <v>642.6</v>
      </c>
      <c r="U22" s="433">
        <f t="shared" si="35"/>
        <v>0</v>
      </c>
      <c r="V22" s="430">
        <f t="shared" si="35"/>
        <v>0</v>
      </c>
      <c r="W22" s="431">
        <f t="shared" si="35"/>
        <v>0</v>
      </c>
      <c r="X22" s="431">
        <f t="shared" si="35"/>
        <v>642.6</v>
      </c>
      <c r="Y22" s="434">
        <f t="shared" si="35"/>
        <v>0</v>
      </c>
      <c r="Z22" s="427">
        <f t="shared" si="35"/>
        <v>0</v>
      </c>
      <c r="AA22" s="431">
        <f t="shared" si="35"/>
        <v>0</v>
      </c>
      <c r="AB22" s="431">
        <f t="shared" si="35"/>
        <v>0</v>
      </c>
      <c r="AC22" s="435">
        <f t="shared" si="35"/>
        <v>0</v>
      </c>
      <c r="AD22" s="427">
        <f t="shared" si="35"/>
        <v>3212.8429999999998</v>
      </c>
      <c r="AE22" s="431">
        <f t="shared" si="35"/>
        <v>0</v>
      </c>
      <c r="AF22" s="431">
        <f t="shared" si="35"/>
        <v>3213</v>
      </c>
      <c r="AG22" s="433">
        <f t="shared" si="35"/>
        <v>0</v>
      </c>
      <c r="AH22" s="430">
        <f t="shared" si="35"/>
        <v>0</v>
      </c>
      <c r="AI22" s="431">
        <f t="shared" si="35"/>
        <v>0</v>
      </c>
      <c r="AJ22" s="434">
        <f t="shared" si="35"/>
        <v>0</v>
      </c>
      <c r="AK22" s="427">
        <f t="shared" si="35"/>
        <v>0</v>
      </c>
      <c r="AL22" s="431">
        <f t="shared" si="35"/>
        <v>0</v>
      </c>
      <c r="AM22" s="435">
        <f t="shared" si="35"/>
        <v>0</v>
      </c>
      <c r="AN22" s="430">
        <f t="shared" si="35"/>
        <v>0</v>
      </c>
      <c r="AO22" s="431">
        <f t="shared" si="35"/>
        <v>0</v>
      </c>
      <c r="AP22" s="434">
        <f t="shared" si="35"/>
        <v>0</v>
      </c>
      <c r="AQ22" s="427">
        <f t="shared" si="35"/>
        <v>0</v>
      </c>
      <c r="AR22" s="431">
        <f t="shared" si="35"/>
        <v>0</v>
      </c>
      <c r="AS22" s="435">
        <f t="shared" si="35"/>
        <v>0</v>
      </c>
      <c r="AT22" s="257"/>
      <c r="AU22" s="238"/>
      <c r="AV22" s="238"/>
      <c r="AW22" s="238"/>
      <c r="AX22" s="238"/>
      <c r="AY22" s="238"/>
      <c r="AZ22" s="238"/>
      <c r="BA22" s="238"/>
      <c r="BB22" s="238"/>
      <c r="BC22" s="238"/>
      <c r="BD22" s="238"/>
      <c r="BE22" s="238">
        <f t="shared" si="3"/>
        <v>0</v>
      </c>
    </row>
    <row r="23" spans="1:57" ht="22.5" customHeight="1" x14ac:dyDescent="0.25">
      <c r="A23" s="405" t="s">
        <v>150</v>
      </c>
      <c r="B23" s="399"/>
      <c r="C23" s="436">
        <f t="shared" ref="C23:E23" si="36">C51+C101</f>
        <v>8056</v>
      </c>
      <c r="D23" s="428">
        <f t="shared" si="36"/>
        <v>0</v>
      </c>
      <c r="E23" s="429">
        <f t="shared" si="36"/>
        <v>8056</v>
      </c>
      <c r="F23" s="439">
        <f t="shared" ref="F23" si="37">F51+F101</f>
        <v>8056.1570000000002</v>
      </c>
      <c r="G23" s="440">
        <f t="shared" si="31"/>
        <v>0</v>
      </c>
      <c r="H23" s="440">
        <f t="shared" si="31"/>
        <v>1611.2</v>
      </c>
      <c r="I23" s="432"/>
      <c r="J23" s="436">
        <f t="shared" ref="J23:AS23" si="38">J51+J101</f>
        <v>0</v>
      </c>
      <c r="K23" s="440">
        <f t="shared" si="38"/>
        <v>0</v>
      </c>
      <c r="L23" s="440">
        <f t="shared" si="38"/>
        <v>1611.2</v>
      </c>
      <c r="M23" s="433">
        <f t="shared" si="38"/>
        <v>0</v>
      </c>
      <c r="N23" s="439">
        <f t="shared" si="38"/>
        <v>0</v>
      </c>
      <c r="O23" s="440">
        <f t="shared" si="38"/>
        <v>0</v>
      </c>
      <c r="P23" s="440">
        <f t="shared" si="38"/>
        <v>1611.2</v>
      </c>
      <c r="Q23" s="432">
        <f t="shared" si="38"/>
        <v>0</v>
      </c>
      <c r="R23" s="436">
        <f t="shared" si="38"/>
        <v>0</v>
      </c>
      <c r="S23" s="440">
        <f t="shared" si="38"/>
        <v>0</v>
      </c>
      <c r="T23" s="431">
        <f t="shared" si="38"/>
        <v>1611.2</v>
      </c>
      <c r="U23" s="433">
        <f t="shared" si="38"/>
        <v>0</v>
      </c>
      <c r="V23" s="439">
        <f t="shared" si="38"/>
        <v>0</v>
      </c>
      <c r="W23" s="440">
        <f t="shared" si="38"/>
        <v>0</v>
      </c>
      <c r="X23" s="440">
        <f t="shared" si="38"/>
        <v>1611.2</v>
      </c>
      <c r="Y23" s="434">
        <f t="shared" si="38"/>
        <v>0</v>
      </c>
      <c r="Z23" s="436">
        <f t="shared" si="38"/>
        <v>0</v>
      </c>
      <c r="AA23" s="440">
        <f t="shared" si="38"/>
        <v>0</v>
      </c>
      <c r="AB23" s="440">
        <f t="shared" si="38"/>
        <v>0</v>
      </c>
      <c r="AC23" s="435">
        <f t="shared" si="38"/>
        <v>0</v>
      </c>
      <c r="AD23" s="436">
        <f t="shared" si="38"/>
        <v>8056.1570000000002</v>
      </c>
      <c r="AE23" s="440">
        <f t="shared" si="38"/>
        <v>0</v>
      </c>
      <c r="AF23" s="440">
        <f t="shared" si="38"/>
        <v>8056</v>
      </c>
      <c r="AG23" s="433">
        <f t="shared" si="38"/>
        <v>0</v>
      </c>
      <c r="AH23" s="439">
        <f t="shared" si="38"/>
        <v>0</v>
      </c>
      <c r="AI23" s="431">
        <f t="shared" si="38"/>
        <v>0</v>
      </c>
      <c r="AJ23" s="443">
        <f t="shared" si="38"/>
        <v>0</v>
      </c>
      <c r="AK23" s="436">
        <f t="shared" si="38"/>
        <v>0</v>
      </c>
      <c r="AL23" s="431">
        <f t="shared" si="38"/>
        <v>0</v>
      </c>
      <c r="AM23" s="444">
        <f t="shared" si="38"/>
        <v>0</v>
      </c>
      <c r="AN23" s="439">
        <f t="shared" si="38"/>
        <v>0</v>
      </c>
      <c r="AO23" s="431">
        <f t="shared" si="38"/>
        <v>0</v>
      </c>
      <c r="AP23" s="443">
        <f t="shared" si="38"/>
        <v>0</v>
      </c>
      <c r="AQ23" s="436">
        <f t="shared" si="38"/>
        <v>0</v>
      </c>
      <c r="AR23" s="440">
        <f t="shared" si="38"/>
        <v>0</v>
      </c>
      <c r="AS23" s="444">
        <f t="shared" si="38"/>
        <v>0</v>
      </c>
      <c r="AT23" s="320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>
        <f t="shared" si="3"/>
        <v>0</v>
      </c>
    </row>
    <row r="24" spans="1:57" s="381" customFormat="1" ht="29.25" x14ac:dyDescent="0.25">
      <c r="A24" s="405" t="s">
        <v>151</v>
      </c>
      <c r="B24" s="399" t="s">
        <v>152</v>
      </c>
      <c r="C24" s="436">
        <f t="shared" ref="C24:E24" si="39">C52+C102</f>
        <v>0</v>
      </c>
      <c r="D24" s="437">
        <f t="shared" si="39"/>
        <v>0</v>
      </c>
      <c r="E24" s="438">
        <f t="shared" si="39"/>
        <v>0</v>
      </c>
      <c r="F24" s="439">
        <f t="shared" ref="F24:H24" si="40">F52+F102</f>
        <v>0</v>
      </c>
      <c r="G24" s="440">
        <f t="shared" si="40"/>
        <v>0</v>
      </c>
      <c r="H24" s="440">
        <f t="shared" si="40"/>
        <v>0</v>
      </c>
      <c r="I24" s="441"/>
      <c r="J24" s="436">
        <f t="shared" ref="J24:AS24" si="41">J52+J102</f>
        <v>0</v>
      </c>
      <c r="K24" s="440">
        <f t="shared" si="41"/>
        <v>0</v>
      </c>
      <c r="L24" s="440">
        <f t="shared" si="41"/>
        <v>0</v>
      </c>
      <c r="M24" s="442">
        <f t="shared" si="41"/>
        <v>0</v>
      </c>
      <c r="N24" s="439">
        <f t="shared" si="41"/>
        <v>0</v>
      </c>
      <c r="O24" s="440">
        <f t="shared" si="41"/>
        <v>0</v>
      </c>
      <c r="P24" s="440">
        <f t="shared" si="41"/>
        <v>0</v>
      </c>
      <c r="Q24" s="441">
        <f t="shared" si="41"/>
        <v>0</v>
      </c>
      <c r="R24" s="436">
        <f t="shared" si="41"/>
        <v>0</v>
      </c>
      <c r="S24" s="440">
        <f t="shared" si="41"/>
        <v>0</v>
      </c>
      <c r="T24" s="440">
        <f t="shared" si="41"/>
        <v>0</v>
      </c>
      <c r="U24" s="442">
        <f t="shared" si="41"/>
        <v>0</v>
      </c>
      <c r="V24" s="439">
        <f t="shared" si="41"/>
        <v>0</v>
      </c>
      <c r="W24" s="440">
        <f t="shared" si="41"/>
        <v>0</v>
      </c>
      <c r="X24" s="440">
        <f t="shared" si="41"/>
        <v>0</v>
      </c>
      <c r="Y24" s="443">
        <f t="shared" si="41"/>
        <v>0</v>
      </c>
      <c r="Z24" s="436">
        <f t="shared" si="41"/>
        <v>0</v>
      </c>
      <c r="AA24" s="440">
        <f t="shared" si="41"/>
        <v>0</v>
      </c>
      <c r="AB24" s="440">
        <f t="shared" si="41"/>
        <v>0</v>
      </c>
      <c r="AC24" s="444">
        <f t="shared" si="41"/>
        <v>0</v>
      </c>
      <c r="AD24" s="436">
        <f t="shared" si="41"/>
        <v>0</v>
      </c>
      <c r="AE24" s="440">
        <f t="shared" si="41"/>
        <v>0</v>
      </c>
      <c r="AF24" s="440">
        <f t="shared" si="41"/>
        <v>0</v>
      </c>
      <c r="AG24" s="442">
        <f t="shared" si="41"/>
        <v>0</v>
      </c>
      <c r="AH24" s="439">
        <f t="shared" si="41"/>
        <v>0</v>
      </c>
      <c r="AI24" s="440">
        <f t="shared" si="41"/>
        <v>0</v>
      </c>
      <c r="AJ24" s="443">
        <f t="shared" si="41"/>
        <v>0</v>
      </c>
      <c r="AK24" s="436">
        <f t="shared" si="41"/>
        <v>0</v>
      </c>
      <c r="AL24" s="440">
        <f t="shared" si="41"/>
        <v>0</v>
      </c>
      <c r="AM24" s="444">
        <f t="shared" si="41"/>
        <v>0</v>
      </c>
      <c r="AN24" s="439">
        <f t="shared" si="41"/>
        <v>0</v>
      </c>
      <c r="AO24" s="440">
        <f t="shared" si="41"/>
        <v>0</v>
      </c>
      <c r="AP24" s="443">
        <f t="shared" si="41"/>
        <v>0</v>
      </c>
      <c r="AQ24" s="436">
        <f t="shared" si="41"/>
        <v>0</v>
      </c>
      <c r="AR24" s="440">
        <f t="shared" si="41"/>
        <v>0</v>
      </c>
      <c r="AS24" s="444">
        <f t="shared" si="41"/>
        <v>0</v>
      </c>
      <c r="AT24" s="320"/>
      <c r="AU24" s="382"/>
      <c r="AV24" s="382"/>
      <c r="AW24" s="382"/>
      <c r="AX24" s="382"/>
      <c r="AY24" s="382"/>
      <c r="AZ24" s="382"/>
      <c r="BA24" s="382"/>
      <c r="BB24" s="382"/>
      <c r="BC24" s="382"/>
      <c r="BD24" s="382"/>
      <c r="BE24" s="382">
        <f t="shared" si="3"/>
        <v>0</v>
      </c>
    </row>
    <row r="25" spans="1:57" ht="30" x14ac:dyDescent="0.25">
      <c r="A25" s="406"/>
      <c r="B25" s="400" t="s">
        <v>153</v>
      </c>
      <c r="C25" s="427">
        <f t="shared" ref="C25:E25" si="42">C53+C103</f>
        <v>4297</v>
      </c>
      <c r="D25" s="428">
        <f t="shared" si="42"/>
        <v>3937.9308459999993</v>
      </c>
      <c r="E25" s="429">
        <f t="shared" si="42"/>
        <v>359.50415400000111</v>
      </c>
      <c r="F25" s="430">
        <f t="shared" ref="F25:H25" si="43">F53+F103</f>
        <v>0</v>
      </c>
      <c r="G25" s="431">
        <f t="shared" si="43"/>
        <v>0</v>
      </c>
      <c r="H25" s="431">
        <f t="shared" si="43"/>
        <v>0</v>
      </c>
      <c r="I25" s="432">
        <f t="shared" ref="I25:I27" si="44">F25-G25-H25</f>
        <v>0</v>
      </c>
      <c r="J25" s="427">
        <f t="shared" ref="J25:AS25" si="45">J53+J103</f>
        <v>0</v>
      </c>
      <c r="K25" s="431">
        <f t="shared" si="45"/>
        <v>0</v>
      </c>
      <c r="L25" s="431">
        <f t="shared" si="45"/>
        <v>0</v>
      </c>
      <c r="M25" s="433">
        <f t="shared" si="45"/>
        <v>0</v>
      </c>
      <c r="N25" s="430">
        <f t="shared" si="45"/>
        <v>4297.4350000000004</v>
      </c>
      <c r="O25" s="440">
        <f t="shared" si="45"/>
        <v>3937.9308459999993</v>
      </c>
      <c r="P25" s="440">
        <f t="shared" si="45"/>
        <v>359.50415400000111</v>
      </c>
      <c r="Q25" s="432">
        <f t="shared" si="45"/>
        <v>0</v>
      </c>
      <c r="R25" s="427">
        <f t="shared" si="45"/>
        <v>0</v>
      </c>
      <c r="S25" s="431">
        <f t="shared" si="45"/>
        <v>0</v>
      </c>
      <c r="T25" s="431">
        <f t="shared" si="45"/>
        <v>0</v>
      </c>
      <c r="U25" s="433">
        <f t="shared" si="45"/>
        <v>0</v>
      </c>
      <c r="V25" s="430">
        <f t="shared" si="45"/>
        <v>0</v>
      </c>
      <c r="W25" s="431">
        <f t="shared" si="45"/>
        <v>0</v>
      </c>
      <c r="X25" s="431">
        <f t="shared" si="45"/>
        <v>0</v>
      </c>
      <c r="Y25" s="434">
        <f t="shared" si="45"/>
        <v>0</v>
      </c>
      <c r="Z25" s="427">
        <f t="shared" si="45"/>
        <v>0</v>
      </c>
      <c r="AA25" s="431">
        <f t="shared" si="45"/>
        <v>0</v>
      </c>
      <c r="AB25" s="431">
        <f t="shared" si="45"/>
        <v>0</v>
      </c>
      <c r="AC25" s="435">
        <f t="shared" si="45"/>
        <v>0</v>
      </c>
      <c r="AD25" s="427">
        <f t="shared" si="45"/>
        <v>4297.4350000000004</v>
      </c>
      <c r="AE25" s="431">
        <f t="shared" si="45"/>
        <v>3937.9308459999993</v>
      </c>
      <c r="AF25" s="431">
        <f t="shared" si="45"/>
        <v>359.50415400000111</v>
      </c>
      <c r="AG25" s="433">
        <f t="shared" si="45"/>
        <v>0</v>
      </c>
      <c r="AH25" s="430">
        <f t="shared" si="45"/>
        <v>0</v>
      </c>
      <c r="AI25" s="431">
        <f t="shared" si="45"/>
        <v>0</v>
      </c>
      <c r="AJ25" s="434">
        <f t="shared" si="45"/>
        <v>0</v>
      </c>
      <c r="AK25" s="427">
        <f t="shared" si="45"/>
        <v>0</v>
      </c>
      <c r="AL25" s="431">
        <f t="shared" si="45"/>
        <v>0</v>
      </c>
      <c r="AM25" s="435">
        <f t="shared" si="45"/>
        <v>0</v>
      </c>
      <c r="AN25" s="430">
        <f t="shared" si="45"/>
        <v>0</v>
      </c>
      <c r="AO25" s="431">
        <f t="shared" si="45"/>
        <v>0</v>
      </c>
      <c r="AP25" s="434">
        <f t="shared" si="45"/>
        <v>0</v>
      </c>
      <c r="AQ25" s="427">
        <f t="shared" si="45"/>
        <v>0</v>
      </c>
      <c r="AR25" s="431">
        <f t="shared" si="45"/>
        <v>0</v>
      </c>
      <c r="AS25" s="435">
        <f t="shared" si="45"/>
        <v>0</v>
      </c>
      <c r="AT25" s="257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>
        <f t="shared" si="3"/>
        <v>-0.43500000000040018</v>
      </c>
    </row>
    <row r="26" spans="1:57" s="381" customFormat="1" ht="22.5" customHeight="1" thickBot="1" x14ac:dyDescent="0.3">
      <c r="A26" s="418" t="s">
        <v>154</v>
      </c>
      <c r="B26" s="419"/>
      <c r="C26" s="445">
        <f t="shared" ref="C26:E26" si="46">C54+C104</f>
        <v>4297</v>
      </c>
      <c r="D26" s="446">
        <f t="shared" si="46"/>
        <v>3937.9308459999993</v>
      </c>
      <c r="E26" s="447">
        <f t="shared" si="46"/>
        <v>359.50415400000111</v>
      </c>
      <c r="F26" s="448">
        <f t="shared" ref="F26:H26" si="47">F54+F104</f>
        <v>0</v>
      </c>
      <c r="G26" s="449">
        <f t="shared" si="47"/>
        <v>0</v>
      </c>
      <c r="H26" s="449">
        <f t="shared" si="47"/>
        <v>0</v>
      </c>
      <c r="I26" s="450">
        <f t="shared" si="44"/>
        <v>0</v>
      </c>
      <c r="J26" s="445">
        <f t="shared" ref="J26:AS26" si="48">J54+J104</f>
        <v>0</v>
      </c>
      <c r="K26" s="449">
        <f t="shared" si="48"/>
        <v>0</v>
      </c>
      <c r="L26" s="449">
        <f t="shared" si="48"/>
        <v>0</v>
      </c>
      <c r="M26" s="451">
        <f t="shared" si="48"/>
        <v>0</v>
      </c>
      <c r="N26" s="448">
        <f t="shared" si="48"/>
        <v>4297.4350000000004</v>
      </c>
      <c r="O26" s="449">
        <f t="shared" si="48"/>
        <v>3937.9308459999993</v>
      </c>
      <c r="P26" s="449">
        <f t="shared" si="48"/>
        <v>359.50415400000111</v>
      </c>
      <c r="Q26" s="450">
        <f t="shared" si="48"/>
        <v>0</v>
      </c>
      <c r="R26" s="445">
        <f t="shared" si="48"/>
        <v>0</v>
      </c>
      <c r="S26" s="449">
        <f t="shared" si="48"/>
        <v>0</v>
      </c>
      <c r="T26" s="449">
        <f t="shared" si="48"/>
        <v>0</v>
      </c>
      <c r="U26" s="451">
        <f t="shared" si="48"/>
        <v>0</v>
      </c>
      <c r="V26" s="448">
        <f t="shared" si="48"/>
        <v>0</v>
      </c>
      <c r="W26" s="449">
        <f t="shared" si="48"/>
        <v>0</v>
      </c>
      <c r="X26" s="449">
        <f t="shared" si="48"/>
        <v>0</v>
      </c>
      <c r="Y26" s="452">
        <f t="shared" si="48"/>
        <v>0</v>
      </c>
      <c r="Z26" s="445">
        <f t="shared" si="48"/>
        <v>0</v>
      </c>
      <c r="AA26" s="449">
        <f t="shared" si="48"/>
        <v>0</v>
      </c>
      <c r="AB26" s="449">
        <f t="shared" si="48"/>
        <v>0</v>
      </c>
      <c r="AC26" s="453">
        <f t="shared" si="48"/>
        <v>0</v>
      </c>
      <c r="AD26" s="445">
        <f t="shared" si="48"/>
        <v>4297.4350000000004</v>
      </c>
      <c r="AE26" s="449">
        <f t="shared" si="48"/>
        <v>3937.9308459999993</v>
      </c>
      <c r="AF26" s="449">
        <f t="shared" si="48"/>
        <v>359.50415400000111</v>
      </c>
      <c r="AG26" s="451">
        <f t="shared" si="48"/>
        <v>0</v>
      </c>
      <c r="AH26" s="448">
        <f t="shared" si="48"/>
        <v>0</v>
      </c>
      <c r="AI26" s="449">
        <f t="shared" si="48"/>
        <v>0</v>
      </c>
      <c r="AJ26" s="452">
        <f t="shared" si="48"/>
        <v>0</v>
      </c>
      <c r="AK26" s="445">
        <f t="shared" si="48"/>
        <v>0</v>
      </c>
      <c r="AL26" s="449">
        <f t="shared" si="48"/>
        <v>0</v>
      </c>
      <c r="AM26" s="453">
        <f t="shared" si="48"/>
        <v>0</v>
      </c>
      <c r="AN26" s="448">
        <f t="shared" si="48"/>
        <v>0</v>
      </c>
      <c r="AO26" s="449">
        <f t="shared" si="48"/>
        <v>0</v>
      </c>
      <c r="AP26" s="452">
        <f t="shared" si="48"/>
        <v>0</v>
      </c>
      <c r="AQ26" s="445">
        <f t="shared" si="48"/>
        <v>0</v>
      </c>
      <c r="AR26" s="449">
        <f t="shared" si="48"/>
        <v>0</v>
      </c>
      <c r="AS26" s="453">
        <f t="shared" si="48"/>
        <v>0</v>
      </c>
      <c r="AT26" s="320"/>
      <c r="AU26" s="382"/>
      <c r="AV26" s="382"/>
      <c r="AW26" s="382"/>
      <c r="AX26" s="382"/>
      <c r="AY26" s="382"/>
      <c r="AZ26" s="382"/>
      <c r="BA26" s="382"/>
      <c r="BB26" s="382"/>
      <c r="BC26" s="382"/>
      <c r="BD26" s="382"/>
      <c r="BE26" s="382">
        <f t="shared" si="3"/>
        <v>-0.43500000000040018</v>
      </c>
    </row>
    <row r="27" spans="1:57" s="381" customFormat="1" ht="22.5" customHeight="1" thickTop="1" x14ac:dyDescent="0.25">
      <c r="A27" s="420" t="s">
        <v>155</v>
      </c>
      <c r="B27" s="421"/>
      <c r="C27" s="454">
        <f t="shared" ref="C27:E27" si="49">C55+C105</f>
        <v>78349.157000000007</v>
      </c>
      <c r="D27" s="455">
        <f t="shared" si="49"/>
        <v>49863.87834044444</v>
      </c>
      <c r="E27" s="456">
        <f t="shared" si="49"/>
        <v>28485.121659555549</v>
      </c>
      <c r="F27" s="457">
        <f t="shared" ref="F27:H27" si="50">F55+F105</f>
        <v>28684.035</v>
      </c>
      <c r="G27" s="458">
        <f t="shared" si="50"/>
        <v>1229.3494691111111</v>
      </c>
      <c r="H27" s="458">
        <f t="shared" si="50"/>
        <v>7581.8505308888871</v>
      </c>
      <c r="I27" s="459">
        <f t="shared" si="44"/>
        <v>19872.834999999999</v>
      </c>
      <c r="J27" s="454">
        <f t="shared" ref="J27:AS27" si="51">J55+J105</f>
        <v>14236.846000000001</v>
      </c>
      <c r="K27" s="458">
        <f t="shared" si="51"/>
        <v>2523.5512333333336</v>
      </c>
      <c r="L27" s="458">
        <f t="shared" si="51"/>
        <v>6287.6487666666662</v>
      </c>
      <c r="M27" s="460">
        <f t="shared" si="51"/>
        <v>5425.6460000000015</v>
      </c>
      <c r="N27" s="457">
        <f t="shared" si="51"/>
        <v>4297.4350000000004</v>
      </c>
      <c r="O27" s="458">
        <f t="shared" si="51"/>
        <v>3937.9308459999993</v>
      </c>
      <c r="P27" s="458">
        <f t="shared" si="51"/>
        <v>4873.2691540000005</v>
      </c>
      <c r="Q27" s="459">
        <f t="shared" si="51"/>
        <v>-4513.7649999999994</v>
      </c>
      <c r="R27" s="454">
        <f t="shared" si="51"/>
        <v>13062.538</v>
      </c>
      <c r="S27" s="458">
        <f t="shared" si="51"/>
        <v>5823.0853806666673</v>
      </c>
      <c r="T27" s="458">
        <f t="shared" si="51"/>
        <v>2988.1146193333325</v>
      </c>
      <c r="U27" s="460">
        <f t="shared" si="51"/>
        <v>4251.3380000000006</v>
      </c>
      <c r="V27" s="457">
        <f t="shared" si="51"/>
        <v>10228.357</v>
      </c>
      <c r="W27" s="458">
        <f t="shared" si="51"/>
        <v>6531.8857877777773</v>
      </c>
      <c r="X27" s="458">
        <f t="shared" si="51"/>
        <v>2279.3142122222225</v>
      </c>
      <c r="Y27" s="459">
        <f t="shared" si="51"/>
        <v>1417.1569999999999</v>
      </c>
      <c r="Z27" s="454">
        <f t="shared" si="51"/>
        <v>7840.0129999999999</v>
      </c>
      <c r="AA27" s="458">
        <f t="shared" si="51"/>
        <v>5589.7288688888893</v>
      </c>
      <c r="AB27" s="458">
        <f t="shared" si="51"/>
        <v>1610.2711311111107</v>
      </c>
      <c r="AC27" s="460">
        <f t="shared" si="51"/>
        <v>640.01299999999992</v>
      </c>
      <c r="AD27" s="454">
        <f t="shared" si="51"/>
        <v>78349.224000000017</v>
      </c>
      <c r="AE27" s="458">
        <f t="shared" si="51"/>
        <v>25635.531585777775</v>
      </c>
      <c r="AF27" s="458">
        <f t="shared" si="51"/>
        <v>25620.468414222218</v>
      </c>
      <c r="AG27" s="460">
        <f t="shared" si="51"/>
        <v>27093.224000000002</v>
      </c>
      <c r="AH27" s="457">
        <f t="shared" si="51"/>
        <v>0</v>
      </c>
      <c r="AI27" s="458">
        <f t="shared" si="51"/>
        <v>6178.8498386666661</v>
      </c>
      <c r="AJ27" s="461">
        <f t="shared" si="51"/>
        <v>1021.1501613333329</v>
      </c>
      <c r="AK27" s="454">
        <f t="shared" si="51"/>
        <v>0</v>
      </c>
      <c r="AL27" s="458">
        <f t="shared" si="51"/>
        <v>6132.2992386666647</v>
      </c>
      <c r="AM27" s="462">
        <f t="shared" si="51"/>
        <v>1067.7007613333335</v>
      </c>
      <c r="AN27" s="457">
        <f t="shared" si="51"/>
        <v>0</v>
      </c>
      <c r="AO27" s="458">
        <f t="shared" si="51"/>
        <v>6132.2992386666647</v>
      </c>
      <c r="AP27" s="461">
        <f t="shared" si="51"/>
        <v>775.80232266666621</v>
      </c>
      <c r="AQ27" s="454">
        <f t="shared" si="51"/>
        <v>0</v>
      </c>
      <c r="AR27" s="458">
        <f t="shared" si="51"/>
        <v>5784.8984386666671</v>
      </c>
      <c r="AS27" s="462">
        <f t="shared" si="51"/>
        <v>0</v>
      </c>
      <c r="AT27" s="320"/>
      <c r="AU27" s="382"/>
      <c r="AV27" s="382"/>
      <c r="AW27" s="382"/>
      <c r="AX27" s="382"/>
      <c r="AY27" s="382"/>
      <c r="AZ27" s="382"/>
      <c r="BA27" s="382"/>
      <c r="BB27" s="382"/>
      <c r="BC27" s="382"/>
      <c r="BD27" s="382"/>
      <c r="BE27" s="382">
        <f t="shared" si="3"/>
        <v>0.15700000002107117</v>
      </c>
    </row>
    <row r="28" spans="1:57" ht="15.75" x14ac:dyDescent="0.25">
      <c r="A28" s="406"/>
      <c r="B28" s="401"/>
      <c r="C28" s="436">
        <f t="shared" ref="C28:E28" si="52">C56+C106</f>
        <v>0</v>
      </c>
      <c r="D28" s="463">
        <f t="shared" si="52"/>
        <v>0</v>
      </c>
      <c r="E28" s="464">
        <f t="shared" si="52"/>
        <v>0</v>
      </c>
      <c r="F28" s="430">
        <f t="shared" ref="F28:H28" si="53">F56+F106</f>
        <v>0</v>
      </c>
      <c r="G28" s="431">
        <f t="shared" si="53"/>
        <v>0</v>
      </c>
      <c r="H28" s="431">
        <f t="shared" si="53"/>
        <v>0</v>
      </c>
      <c r="I28" s="434"/>
      <c r="J28" s="427">
        <f t="shared" ref="J28:AS28" si="54">J56+J106</f>
        <v>0</v>
      </c>
      <c r="K28" s="431">
        <f t="shared" si="54"/>
        <v>0</v>
      </c>
      <c r="L28" s="431">
        <f t="shared" si="54"/>
        <v>0</v>
      </c>
      <c r="M28" s="433">
        <f t="shared" si="54"/>
        <v>0</v>
      </c>
      <c r="N28" s="430">
        <f t="shared" si="54"/>
        <v>0</v>
      </c>
      <c r="O28" s="431">
        <f t="shared" si="54"/>
        <v>0</v>
      </c>
      <c r="P28" s="431">
        <f t="shared" si="54"/>
        <v>0</v>
      </c>
      <c r="Q28" s="434">
        <f t="shared" si="54"/>
        <v>0</v>
      </c>
      <c r="R28" s="427">
        <f t="shared" si="54"/>
        <v>0</v>
      </c>
      <c r="S28" s="431">
        <f t="shared" si="54"/>
        <v>0</v>
      </c>
      <c r="T28" s="431">
        <f t="shared" si="54"/>
        <v>0</v>
      </c>
      <c r="U28" s="435">
        <f t="shared" si="54"/>
        <v>0</v>
      </c>
      <c r="V28" s="430">
        <f t="shared" si="54"/>
        <v>0</v>
      </c>
      <c r="W28" s="431">
        <f t="shared" si="54"/>
        <v>0</v>
      </c>
      <c r="X28" s="431">
        <f t="shared" si="54"/>
        <v>0</v>
      </c>
      <c r="Y28" s="434">
        <f t="shared" si="54"/>
        <v>0</v>
      </c>
      <c r="Z28" s="427">
        <f t="shared" si="54"/>
        <v>0</v>
      </c>
      <c r="AA28" s="431">
        <f t="shared" si="54"/>
        <v>0</v>
      </c>
      <c r="AB28" s="431">
        <f t="shared" si="54"/>
        <v>0</v>
      </c>
      <c r="AC28" s="435">
        <f t="shared" si="54"/>
        <v>0</v>
      </c>
      <c r="AD28" s="427">
        <f t="shared" si="54"/>
        <v>0</v>
      </c>
      <c r="AE28" s="431">
        <f t="shared" si="54"/>
        <v>0</v>
      </c>
      <c r="AF28" s="431">
        <f t="shared" si="54"/>
        <v>0</v>
      </c>
      <c r="AG28" s="433">
        <f t="shared" si="54"/>
        <v>0</v>
      </c>
      <c r="AH28" s="430">
        <f t="shared" si="54"/>
        <v>0</v>
      </c>
      <c r="AI28" s="431">
        <f t="shared" si="54"/>
        <v>0</v>
      </c>
      <c r="AJ28" s="434">
        <f t="shared" si="54"/>
        <v>0</v>
      </c>
      <c r="AK28" s="427">
        <f t="shared" si="54"/>
        <v>0</v>
      </c>
      <c r="AL28" s="431">
        <f t="shared" si="54"/>
        <v>0</v>
      </c>
      <c r="AM28" s="435">
        <f t="shared" si="54"/>
        <v>0</v>
      </c>
      <c r="AN28" s="430">
        <f t="shared" si="54"/>
        <v>0</v>
      </c>
      <c r="AO28" s="431">
        <f t="shared" si="54"/>
        <v>0</v>
      </c>
      <c r="AP28" s="434">
        <f t="shared" si="54"/>
        <v>0</v>
      </c>
      <c r="AQ28" s="427">
        <f t="shared" si="54"/>
        <v>0</v>
      </c>
      <c r="AR28" s="431">
        <f t="shared" si="54"/>
        <v>0</v>
      </c>
      <c r="AS28" s="435">
        <f t="shared" si="54"/>
        <v>0</v>
      </c>
      <c r="AT28" s="259"/>
      <c r="AU28" s="238"/>
      <c r="AV28" s="238"/>
      <c r="AW28" s="238"/>
      <c r="AX28" s="238"/>
      <c r="AY28" s="238"/>
      <c r="AZ28" s="238"/>
      <c r="BA28" s="238"/>
      <c r="BB28" s="238"/>
      <c r="BC28" s="238"/>
      <c r="BD28" s="238"/>
    </row>
    <row r="29" spans="1:57" s="351" customFormat="1" ht="25.5" customHeight="1" x14ac:dyDescent="0.25">
      <c r="A29" s="422"/>
      <c r="B29" s="402" t="s">
        <v>451</v>
      </c>
      <c r="C29" s="465">
        <f t="shared" ref="C29:E29" si="55">C57+C107</f>
        <v>0</v>
      </c>
      <c r="D29" s="466">
        <f t="shared" si="55"/>
        <v>49863.878340444448</v>
      </c>
      <c r="E29" s="467">
        <f t="shared" si="55"/>
        <v>28485.121659555549</v>
      </c>
      <c r="F29" s="468">
        <f t="shared" ref="F29:H29" si="56">F57+F107</f>
        <v>0</v>
      </c>
      <c r="G29" s="469">
        <f t="shared" si="56"/>
        <v>1229.3494691111111</v>
      </c>
      <c r="H29" s="469">
        <f t="shared" si="56"/>
        <v>7581.8505308888889</v>
      </c>
      <c r="I29" s="470"/>
      <c r="J29" s="471">
        <f t="shared" ref="J29:AS29" si="57">J57+J107</f>
        <v>0</v>
      </c>
      <c r="K29" s="469">
        <f t="shared" si="57"/>
        <v>2523.5512333333336</v>
      </c>
      <c r="L29" s="469">
        <f t="shared" si="57"/>
        <v>6287.6487666666662</v>
      </c>
      <c r="M29" s="472">
        <f t="shared" si="57"/>
        <v>0</v>
      </c>
      <c r="N29" s="468">
        <f t="shared" si="57"/>
        <v>0</v>
      </c>
      <c r="O29" s="469">
        <f t="shared" si="57"/>
        <v>3937.9308459999993</v>
      </c>
      <c r="P29" s="469">
        <f t="shared" si="57"/>
        <v>4873.2691540000005</v>
      </c>
      <c r="Q29" s="470">
        <f t="shared" si="57"/>
        <v>0</v>
      </c>
      <c r="R29" s="471">
        <f t="shared" si="57"/>
        <v>0</v>
      </c>
      <c r="S29" s="469">
        <f t="shared" si="57"/>
        <v>5823.0853806666673</v>
      </c>
      <c r="T29" s="469">
        <f t="shared" si="57"/>
        <v>2988.1146193333325</v>
      </c>
      <c r="U29" s="472">
        <f t="shared" si="57"/>
        <v>0</v>
      </c>
      <c r="V29" s="468">
        <f t="shared" si="57"/>
        <v>0</v>
      </c>
      <c r="W29" s="469">
        <f t="shared" si="57"/>
        <v>6531.8857877777773</v>
      </c>
      <c r="X29" s="469">
        <f t="shared" si="57"/>
        <v>2279.3142122222225</v>
      </c>
      <c r="Y29" s="470">
        <f t="shared" si="57"/>
        <v>0</v>
      </c>
      <c r="Z29" s="471">
        <f t="shared" si="57"/>
        <v>0</v>
      </c>
      <c r="AA29" s="469">
        <f t="shared" si="57"/>
        <v>5589.7288688888893</v>
      </c>
      <c r="AB29" s="469">
        <f t="shared" si="57"/>
        <v>1610.2711311111107</v>
      </c>
      <c r="AC29" s="473">
        <f t="shared" si="57"/>
        <v>0</v>
      </c>
      <c r="AD29" s="471">
        <f t="shared" si="57"/>
        <v>0</v>
      </c>
      <c r="AE29" s="469">
        <f t="shared" si="57"/>
        <v>25635.531585777775</v>
      </c>
      <c r="AF29" s="469">
        <f t="shared" si="57"/>
        <v>25620.468414222225</v>
      </c>
      <c r="AG29" s="472">
        <f t="shared" si="57"/>
        <v>0</v>
      </c>
      <c r="AH29" s="468">
        <f t="shared" si="57"/>
        <v>0</v>
      </c>
      <c r="AI29" s="469">
        <f t="shared" si="57"/>
        <v>6178.849838666667</v>
      </c>
      <c r="AJ29" s="474">
        <f t="shared" si="57"/>
        <v>1021.150161333333</v>
      </c>
      <c r="AK29" s="471">
        <f t="shared" si="57"/>
        <v>0</v>
      </c>
      <c r="AL29" s="469">
        <f t="shared" si="57"/>
        <v>6132.2992386666665</v>
      </c>
      <c r="AM29" s="472">
        <f t="shared" si="57"/>
        <v>1067.7007613333335</v>
      </c>
      <c r="AN29" s="468">
        <f t="shared" si="57"/>
        <v>0</v>
      </c>
      <c r="AO29" s="469">
        <f t="shared" si="57"/>
        <v>6132.2992386666665</v>
      </c>
      <c r="AP29" s="474">
        <f t="shared" si="57"/>
        <v>775.80232266666644</v>
      </c>
      <c r="AQ29" s="471">
        <f t="shared" si="57"/>
        <v>0</v>
      </c>
      <c r="AR29" s="469">
        <f t="shared" si="57"/>
        <v>5784.8984386666671</v>
      </c>
      <c r="AS29" s="472">
        <f t="shared" si="57"/>
        <v>0</v>
      </c>
      <c r="AT29" s="423"/>
      <c r="AU29" s="424"/>
      <c r="AV29" s="424"/>
      <c r="AW29" s="424"/>
      <c r="AX29" s="424"/>
      <c r="AY29" s="424"/>
      <c r="AZ29" s="424"/>
      <c r="BA29" s="424"/>
      <c r="BB29" s="424"/>
      <c r="BC29" s="424"/>
      <c r="BD29" s="424"/>
    </row>
    <row r="30" spans="1:57" ht="30.75" thickBot="1" x14ac:dyDescent="0.3">
      <c r="A30" s="407"/>
      <c r="B30" s="411" t="s">
        <v>463</v>
      </c>
      <c r="C30" s="475">
        <f t="shared" ref="C30:E30" si="58">C58+C108</f>
        <v>7200</v>
      </c>
      <c r="D30" s="680">
        <f t="shared" si="58"/>
        <v>78349</v>
      </c>
      <c r="E30" s="691">
        <f t="shared" si="58"/>
        <v>0</v>
      </c>
      <c r="F30" s="476">
        <f t="shared" ref="F30:H30" si="59">F58+F108</f>
        <v>0</v>
      </c>
      <c r="G30" s="680">
        <f t="shared" si="59"/>
        <v>8811.2000000000007</v>
      </c>
      <c r="H30" s="680">
        <f t="shared" si="59"/>
        <v>0</v>
      </c>
      <c r="I30" s="477"/>
      <c r="J30" s="478">
        <f t="shared" ref="J30:AS30" si="60">J58+J108</f>
        <v>0</v>
      </c>
      <c r="K30" s="680">
        <f t="shared" si="60"/>
        <v>8811.2000000000007</v>
      </c>
      <c r="L30" s="680">
        <f t="shared" si="60"/>
        <v>0</v>
      </c>
      <c r="M30" s="479">
        <f t="shared" si="60"/>
        <v>0</v>
      </c>
      <c r="N30" s="477">
        <f t="shared" si="60"/>
        <v>0</v>
      </c>
      <c r="O30" s="680">
        <f t="shared" si="60"/>
        <v>8811.2000000000007</v>
      </c>
      <c r="P30" s="680">
        <f t="shared" si="60"/>
        <v>0</v>
      </c>
      <c r="Q30" s="477">
        <f t="shared" si="60"/>
        <v>0</v>
      </c>
      <c r="R30" s="480">
        <f t="shared" si="60"/>
        <v>0</v>
      </c>
      <c r="S30" s="680">
        <f t="shared" si="60"/>
        <v>8811.2000000000007</v>
      </c>
      <c r="T30" s="680">
        <f t="shared" si="60"/>
        <v>0</v>
      </c>
      <c r="U30" s="481">
        <f t="shared" si="60"/>
        <v>0</v>
      </c>
      <c r="V30" s="477">
        <f t="shared" si="60"/>
        <v>0</v>
      </c>
      <c r="W30" s="680">
        <f t="shared" si="60"/>
        <v>8811.2000000000007</v>
      </c>
      <c r="X30" s="680">
        <f t="shared" si="60"/>
        <v>0</v>
      </c>
      <c r="Y30" s="477">
        <f t="shared" si="60"/>
        <v>0</v>
      </c>
      <c r="Z30" s="480">
        <f t="shared" si="60"/>
        <v>0</v>
      </c>
      <c r="AA30" s="680">
        <f t="shared" si="60"/>
        <v>7200</v>
      </c>
      <c r="AB30" s="680">
        <f t="shared" si="60"/>
        <v>0</v>
      </c>
      <c r="AC30" s="481">
        <f t="shared" si="60"/>
        <v>0</v>
      </c>
      <c r="AD30" s="480">
        <f t="shared" si="60"/>
        <v>0</v>
      </c>
      <c r="AE30" s="680">
        <f t="shared" si="60"/>
        <v>51255.999999999993</v>
      </c>
      <c r="AF30" s="680">
        <f t="shared" si="60"/>
        <v>0</v>
      </c>
      <c r="AG30" s="481">
        <f t="shared" si="60"/>
        <v>0</v>
      </c>
      <c r="AH30" s="477">
        <f t="shared" si="60"/>
        <v>0</v>
      </c>
      <c r="AI30" s="680">
        <f t="shared" si="60"/>
        <v>7200</v>
      </c>
      <c r="AJ30" s="680">
        <f t="shared" si="60"/>
        <v>0</v>
      </c>
      <c r="AK30" s="478">
        <f t="shared" si="60"/>
        <v>0</v>
      </c>
      <c r="AL30" s="680">
        <f t="shared" si="60"/>
        <v>7200</v>
      </c>
      <c r="AM30" s="681">
        <f t="shared" si="60"/>
        <v>0</v>
      </c>
      <c r="AN30" s="477">
        <f t="shared" si="60"/>
        <v>0</v>
      </c>
      <c r="AO30" s="680">
        <f t="shared" si="60"/>
        <v>6908.1015613333329</v>
      </c>
      <c r="AP30" s="680">
        <f t="shared" si="60"/>
        <v>0</v>
      </c>
      <c r="AQ30" s="480">
        <f t="shared" si="60"/>
        <v>0</v>
      </c>
      <c r="AR30" s="680">
        <f t="shared" si="60"/>
        <v>5784.8984386666671</v>
      </c>
      <c r="AS30" s="681">
        <f t="shared" si="60"/>
        <v>0</v>
      </c>
      <c r="BC30" s="238"/>
    </row>
    <row r="31" spans="1:57" ht="15" customHeight="1" x14ac:dyDescent="0.25">
      <c r="B31" s="222"/>
      <c r="C31" s="417">
        <f>C27/10</f>
        <v>7834.9157000000005</v>
      </c>
      <c r="D31" s="238"/>
      <c r="E31" s="238"/>
      <c r="AR31" s="238"/>
    </row>
    <row r="32" spans="1:57" ht="15.75" thickBot="1" x14ac:dyDescent="0.3">
      <c r="B32" s="425" t="s">
        <v>510</v>
      </c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371"/>
      <c r="AL32" s="371"/>
      <c r="AM32" s="371"/>
      <c r="AN32" s="371"/>
      <c r="AO32" s="371"/>
      <c r="AP32" s="371"/>
      <c r="AQ32" s="371"/>
      <c r="AR32" s="371"/>
      <c r="AS32" s="371"/>
    </row>
    <row r="33" spans="1:57" ht="15" customHeight="1" x14ac:dyDescent="0.25">
      <c r="A33" s="692" t="s">
        <v>108</v>
      </c>
      <c r="B33" s="694" t="s">
        <v>354</v>
      </c>
      <c r="C33" s="696" t="s">
        <v>116</v>
      </c>
      <c r="D33" s="698" t="s">
        <v>441</v>
      </c>
      <c r="E33" s="700" t="s">
        <v>119</v>
      </c>
      <c r="F33" s="703" t="s">
        <v>400</v>
      </c>
      <c r="G33" s="704"/>
      <c r="H33" s="704"/>
      <c r="I33" s="704"/>
      <c r="J33" s="704"/>
      <c r="K33" s="704"/>
      <c r="L33" s="704"/>
      <c r="M33" s="704"/>
      <c r="N33" s="704"/>
      <c r="O33" s="704"/>
      <c r="P33" s="704"/>
      <c r="Q33" s="704"/>
      <c r="R33" s="704"/>
      <c r="S33" s="704"/>
      <c r="T33" s="704"/>
      <c r="U33" s="704"/>
      <c r="V33" s="704"/>
      <c r="W33" s="704"/>
      <c r="X33" s="704"/>
      <c r="Y33" s="704"/>
      <c r="Z33" s="704"/>
      <c r="AA33" s="704"/>
      <c r="AB33" s="704"/>
      <c r="AC33" s="705"/>
      <c r="AD33" s="706" t="s">
        <v>443</v>
      </c>
      <c r="AE33" s="707"/>
      <c r="AF33" s="707"/>
      <c r="AG33" s="708"/>
      <c r="AH33" s="703" t="s">
        <v>471</v>
      </c>
      <c r="AI33" s="704"/>
      <c r="AJ33" s="704"/>
      <c r="AK33" s="704"/>
      <c r="AL33" s="704"/>
      <c r="AM33" s="704"/>
      <c r="AN33" s="704"/>
      <c r="AO33" s="704"/>
      <c r="AP33" s="704"/>
      <c r="AQ33" s="704"/>
      <c r="AR33" s="704"/>
      <c r="AS33" s="712"/>
      <c r="AT33" s="251"/>
    </row>
    <row r="34" spans="1:57" ht="15" customHeight="1" x14ac:dyDescent="0.25">
      <c r="A34" s="693"/>
      <c r="B34" s="695"/>
      <c r="C34" s="697"/>
      <c r="D34" s="699"/>
      <c r="E34" s="701"/>
      <c r="F34" s="683" t="s">
        <v>371</v>
      </c>
      <c r="G34" s="682"/>
      <c r="H34" s="682"/>
      <c r="I34" s="682"/>
      <c r="J34" s="683" t="s">
        <v>372</v>
      </c>
      <c r="K34" s="682"/>
      <c r="L34" s="682"/>
      <c r="M34" s="684"/>
      <c r="N34" s="682" t="s">
        <v>373</v>
      </c>
      <c r="O34" s="682"/>
      <c r="P34" s="682"/>
      <c r="Q34" s="682"/>
      <c r="R34" s="683" t="s">
        <v>374</v>
      </c>
      <c r="S34" s="682"/>
      <c r="T34" s="682"/>
      <c r="U34" s="684"/>
      <c r="V34" s="682" t="s">
        <v>375</v>
      </c>
      <c r="W34" s="682"/>
      <c r="X34" s="682"/>
      <c r="Y34" s="682"/>
      <c r="Z34" s="683" t="s">
        <v>376</v>
      </c>
      <c r="AA34" s="682"/>
      <c r="AB34" s="682"/>
      <c r="AC34" s="684"/>
      <c r="AD34" s="709"/>
      <c r="AE34" s="710"/>
      <c r="AF34" s="710"/>
      <c r="AG34" s="711"/>
      <c r="AH34" s="682" t="s">
        <v>377</v>
      </c>
      <c r="AI34" s="682"/>
      <c r="AJ34" s="682"/>
      <c r="AK34" s="683" t="s">
        <v>378</v>
      </c>
      <c r="AL34" s="682"/>
      <c r="AM34" s="682"/>
      <c r="AN34" s="683" t="s">
        <v>379</v>
      </c>
      <c r="AO34" s="682"/>
      <c r="AP34" s="684"/>
      <c r="AQ34" s="683" t="s">
        <v>380</v>
      </c>
      <c r="AR34" s="682"/>
      <c r="AS34" s="684"/>
      <c r="AT34" s="251"/>
    </row>
    <row r="35" spans="1:57" ht="72" customHeight="1" x14ac:dyDescent="0.25">
      <c r="A35" s="693"/>
      <c r="B35" s="695"/>
      <c r="C35" s="697"/>
      <c r="D35" s="699"/>
      <c r="E35" s="702"/>
      <c r="F35" s="373" t="s">
        <v>440</v>
      </c>
      <c r="G35" s="240" t="s">
        <v>515</v>
      </c>
      <c r="H35" s="240" t="s">
        <v>517</v>
      </c>
      <c r="I35" s="379" t="s">
        <v>464</v>
      </c>
      <c r="J35" s="375" t="s">
        <v>440</v>
      </c>
      <c r="K35" s="240" t="s">
        <v>515</v>
      </c>
      <c r="L35" s="240" t="s">
        <v>517</v>
      </c>
      <c r="M35" s="376" t="s">
        <v>465</v>
      </c>
      <c r="N35" s="373" t="s">
        <v>440</v>
      </c>
      <c r="O35" s="240" t="s">
        <v>515</v>
      </c>
      <c r="P35" s="240" t="s">
        <v>517</v>
      </c>
      <c r="Q35" s="379" t="s">
        <v>466</v>
      </c>
      <c r="R35" s="375" t="s">
        <v>440</v>
      </c>
      <c r="S35" s="240" t="s">
        <v>515</v>
      </c>
      <c r="T35" s="240" t="s">
        <v>517</v>
      </c>
      <c r="U35" s="376" t="s">
        <v>467</v>
      </c>
      <c r="V35" s="373" t="s">
        <v>440</v>
      </c>
      <c r="W35" s="240" t="s">
        <v>515</v>
      </c>
      <c r="X35" s="240" t="s">
        <v>517</v>
      </c>
      <c r="Y35" s="379" t="s">
        <v>468</v>
      </c>
      <c r="Z35" s="375" t="s">
        <v>440</v>
      </c>
      <c r="AA35" s="240" t="s">
        <v>515</v>
      </c>
      <c r="AB35" s="240" t="s">
        <v>517</v>
      </c>
      <c r="AC35" s="376" t="s">
        <v>469</v>
      </c>
      <c r="AD35" s="375" t="s">
        <v>440</v>
      </c>
      <c r="AE35" s="240" t="s">
        <v>515</v>
      </c>
      <c r="AF35" s="240" t="s">
        <v>517</v>
      </c>
      <c r="AG35" s="376" t="s">
        <v>462</v>
      </c>
      <c r="AH35" s="373" t="s">
        <v>440</v>
      </c>
      <c r="AI35" s="240" t="s">
        <v>515</v>
      </c>
      <c r="AJ35" s="240" t="s">
        <v>517</v>
      </c>
      <c r="AK35" s="375" t="s">
        <v>440</v>
      </c>
      <c r="AL35" s="240" t="s">
        <v>515</v>
      </c>
      <c r="AM35" s="426" t="s">
        <v>517</v>
      </c>
      <c r="AN35" s="375" t="s">
        <v>440</v>
      </c>
      <c r="AO35" s="240" t="s">
        <v>515</v>
      </c>
      <c r="AP35" s="426" t="s">
        <v>517</v>
      </c>
      <c r="AQ35" s="375" t="s">
        <v>440</v>
      </c>
      <c r="AR35" s="240" t="s">
        <v>515</v>
      </c>
      <c r="AS35" s="416" t="s">
        <v>517</v>
      </c>
      <c r="AT35" s="252"/>
    </row>
    <row r="36" spans="1:57" x14ac:dyDescent="0.25">
      <c r="A36" s="404">
        <v>1</v>
      </c>
      <c r="B36" s="397">
        <v>2</v>
      </c>
      <c r="C36" s="403">
        <v>3</v>
      </c>
      <c r="D36" s="412">
        <v>4</v>
      </c>
      <c r="E36" s="413">
        <v>5</v>
      </c>
      <c r="F36" s="398">
        <v>6</v>
      </c>
      <c r="G36" s="245" t="s">
        <v>472</v>
      </c>
      <c r="H36" s="245" t="s">
        <v>473</v>
      </c>
      <c r="I36" s="372" t="s">
        <v>474</v>
      </c>
      <c r="J36" s="404">
        <v>10</v>
      </c>
      <c r="K36" s="397">
        <v>11</v>
      </c>
      <c r="L36" s="408" t="s">
        <v>475</v>
      </c>
      <c r="M36" s="409" t="s">
        <v>476</v>
      </c>
      <c r="N36" s="374" t="s">
        <v>477</v>
      </c>
      <c r="O36" s="245" t="s">
        <v>478</v>
      </c>
      <c r="P36" s="245" t="s">
        <v>479</v>
      </c>
      <c r="Q36" s="372" t="s">
        <v>480</v>
      </c>
      <c r="R36" s="377" t="s">
        <v>481</v>
      </c>
      <c r="S36" s="245" t="s">
        <v>482</v>
      </c>
      <c r="T36" s="245" t="s">
        <v>483</v>
      </c>
      <c r="U36" s="378" t="s">
        <v>484</v>
      </c>
      <c r="V36" s="374" t="s">
        <v>485</v>
      </c>
      <c r="W36" s="245" t="s">
        <v>486</v>
      </c>
      <c r="X36" s="245" t="s">
        <v>487</v>
      </c>
      <c r="Y36" s="372" t="s">
        <v>488</v>
      </c>
      <c r="Z36" s="377" t="s">
        <v>489</v>
      </c>
      <c r="AA36" s="245" t="s">
        <v>490</v>
      </c>
      <c r="AB36" s="245" t="s">
        <v>491</v>
      </c>
      <c r="AC36" s="378" t="s">
        <v>492</v>
      </c>
      <c r="AD36" s="377" t="s">
        <v>493</v>
      </c>
      <c r="AE36" s="245" t="s">
        <v>494</v>
      </c>
      <c r="AF36" s="245" t="s">
        <v>495</v>
      </c>
      <c r="AG36" s="378" t="s">
        <v>496</v>
      </c>
      <c r="AH36" s="374" t="s">
        <v>497</v>
      </c>
      <c r="AI36" s="245" t="s">
        <v>498</v>
      </c>
      <c r="AJ36" s="372" t="s">
        <v>499</v>
      </c>
      <c r="AK36" s="377" t="s">
        <v>500</v>
      </c>
      <c r="AL36" s="245" t="s">
        <v>501</v>
      </c>
      <c r="AM36" s="378" t="s">
        <v>502</v>
      </c>
      <c r="AN36" s="374" t="s">
        <v>503</v>
      </c>
      <c r="AO36" s="245" t="s">
        <v>504</v>
      </c>
      <c r="AP36" s="372" t="s">
        <v>505</v>
      </c>
      <c r="AQ36" s="377" t="s">
        <v>506</v>
      </c>
      <c r="AR36" s="245" t="s">
        <v>507</v>
      </c>
      <c r="AS36" s="378" t="s">
        <v>508</v>
      </c>
      <c r="AT36" s="253"/>
      <c r="AU36" s="244"/>
      <c r="AV36" s="244"/>
      <c r="AW36" s="244"/>
      <c r="AX36" s="244"/>
      <c r="AY36" s="244"/>
      <c r="AZ36" s="244"/>
      <c r="BA36" s="244"/>
      <c r="BB36" s="244"/>
      <c r="BC36" s="244"/>
    </row>
    <row r="37" spans="1:57" ht="15.75" x14ac:dyDescent="0.25">
      <c r="A37" s="405" t="s">
        <v>232</v>
      </c>
      <c r="B37" s="685" t="s">
        <v>125</v>
      </c>
      <c r="C37" s="686"/>
      <c r="D37" s="686"/>
      <c r="E37" s="686"/>
      <c r="F37" s="687"/>
      <c r="G37" s="687"/>
      <c r="H37" s="687"/>
      <c r="I37" s="687"/>
      <c r="J37" s="686"/>
      <c r="K37" s="686"/>
      <c r="L37" s="686"/>
      <c r="M37" s="686"/>
      <c r="N37" s="687"/>
      <c r="O37" s="687"/>
      <c r="P37" s="687"/>
      <c r="Q37" s="687"/>
      <c r="R37" s="687"/>
      <c r="S37" s="687"/>
      <c r="T37" s="687"/>
      <c r="U37" s="687"/>
      <c r="V37" s="687"/>
      <c r="W37" s="687"/>
      <c r="X37" s="687"/>
      <c r="Y37" s="687"/>
      <c r="Z37" s="687"/>
      <c r="AA37" s="687"/>
      <c r="AB37" s="687"/>
      <c r="AC37" s="687"/>
      <c r="AD37" s="687"/>
      <c r="AE37" s="687"/>
      <c r="AF37" s="687"/>
      <c r="AG37" s="687"/>
      <c r="AH37" s="687"/>
      <c r="AI37" s="687"/>
      <c r="AJ37" s="687"/>
      <c r="AK37" s="687"/>
      <c r="AL37" s="687"/>
      <c r="AM37" s="687"/>
      <c r="AN37" s="687"/>
      <c r="AO37" s="687"/>
      <c r="AP37" s="687"/>
      <c r="AQ37" s="687"/>
      <c r="AR37" s="687"/>
      <c r="AS37" s="688"/>
      <c r="AT37" s="254"/>
    </row>
    <row r="38" spans="1:57" x14ac:dyDescent="0.25">
      <c r="A38" s="406"/>
      <c r="B38" s="672" t="s">
        <v>370</v>
      </c>
      <c r="C38" s="673"/>
      <c r="D38" s="673"/>
      <c r="E38" s="673"/>
      <c r="F38" s="673"/>
      <c r="G38" s="673"/>
      <c r="H38" s="673"/>
      <c r="I38" s="673"/>
      <c r="J38" s="673"/>
      <c r="K38" s="673"/>
      <c r="L38" s="673"/>
      <c r="M38" s="673"/>
      <c r="N38" s="673"/>
      <c r="O38" s="673"/>
      <c r="P38" s="673"/>
      <c r="Q38" s="673"/>
      <c r="R38" s="673"/>
      <c r="S38" s="673"/>
      <c r="T38" s="673"/>
      <c r="U38" s="673"/>
      <c r="V38" s="673"/>
      <c r="W38" s="673"/>
      <c r="X38" s="673"/>
      <c r="Y38" s="673"/>
      <c r="Z38" s="673"/>
      <c r="AA38" s="673"/>
      <c r="AB38" s="673"/>
      <c r="AC38" s="673"/>
      <c r="AD38" s="673"/>
      <c r="AE38" s="673"/>
      <c r="AF38" s="673"/>
      <c r="AG38" s="673"/>
      <c r="AH38" s="673"/>
      <c r="AI38" s="673"/>
      <c r="AJ38" s="673"/>
      <c r="AK38" s="673"/>
      <c r="AL38" s="673"/>
      <c r="AM38" s="673"/>
      <c r="AN38" s="673"/>
      <c r="AO38" s="673"/>
      <c r="AP38" s="673"/>
      <c r="AQ38" s="673"/>
      <c r="AR38" s="673"/>
      <c r="AS38" s="690"/>
      <c r="AT38" s="255"/>
    </row>
    <row r="39" spans="1:57" s="381" customFormat="1" ht="29.25" customHeight="1" x14ac:dyDescent="0.25">
      <c r="A39" s="405" t="s">
        <v>127</v>
      </c>
      <c r="B39" s="399" t="s">
        <v>128</v>
      </c>
      <c r="C39" s="482"/>
      <c r="D39" s="483"/>
      <c r="E39" s="484"/>
      <c r="F39" s="485"/>
      <c r="G39" s="486"/>
      <c r="H39" s="486"/>
      <c r="I39" s="487"/>
      <c r="J39" s="482"/>
      <c r="K39" s="486"/>
      <c r="L39" s="486"/>
      <c r="M39" s="488"/>
      <c r="N39" s="485"/>
      <c r="O39" s="486"/>
      <c r="P39" s="486"/>
      <c r="Q39" s="487"/>
      <c r="R39" s="482"/>
      <c r="S39" s="486"/>
      <c r="T39" s="486"/>
      <c r="U39" s="488"/>
      <c r="V39" s="485"/>
      <c r="W39" s="486"/>
      <c r="X39" s="486"/>
      <c r="Y39" s="487"/>
      <c r="Z39" s="482"/>
      <c r="AA39" s="487"/>
      <c r="AB39" s="489"/>
      <c r="AC39" s="490"/>
      <c r="AD39" s="482"/>
      <c r="AE39" s="487"/>
      <c r="AF39" s="489"/>
      <c r="AG39" s="490"/>
      <c r="AH39" s="485"/>
      <c r="AI39" s="487"/>
      <c r="AJ39" s="489"/>
      <c r="AK39" s="482"/>
      <c r="AL39" s="487"/>
      <c r="AM39" s="490"/>
      <c r="AN39" s="485"/>
      <c r="AO39" s="487"/>
      <c r="AP39" s="489"/>
      <c r="AQ39" s="482"/>
      <c r="AR39" s="487"/>
      <c r="AS39" s="490"/>
      <c r="AT39" s="396"/>
    </row>
    <row r="40" spans="1:57" ht="30" x14ac:dyDescent="0.25">
      <c r="A40" s="406" t="s">
        <v>129</v>
      </c>
      <c r="B40" s="400" t="s">
        <v>130</v>
      </c>
      <c r="C40" s="427">
        <v>47421</v>
      </c>
      <c r="D40" s="428">
        <f>AE40+AI40+AL40+AO40+AR40</f>
        <v>33640.802859345677</v>
      </c>
      <c r="E40" s="429">
        <f>AF40+AJ40+AM40+AP40+AS40</f>
        <v>13780.604244969918</v>
      </c>
      <c r="F40" s="430">
        <f>' Фінплан освоєння '!N16+' Фінплан освоєння '!O16</f>
        <v>16611.847999999998</v>
      </c>
      <c r="G40" s="431">
        <f t="shared" ref="G40:G47" si="61">F40/$F$55*$G$57</f>
        <v>990.00811037153073</v>
      </c>
      <c r="H40" s="431">
        <f>F40/$F$55*$H$57</f>
        <v>4808.2279272858559</v>
      </c>
      <c r="I40" s="432">
        <f>F40-G40-H40</f>
        <v>10813.611962342611</v>
      </c>
      <c r="J40" s="427">
        <f>' Фінплан освоєння '!P16</f>
        <v>5200.6139999999996</v>
      </c>
      <c r="K40" s="431">
        <f t="shared" ref="K40:K47" si="62">J40/$J$55*$K$57</f>
        <v>921.83450420062138</v>
      </c>
      <c r="L40" s="431">
        <f>J40/$J$55*$L$57</f>
        <v>1708.2719674153527</v>
      </c>
      <c r="M40" s="433">
        <f>J40-K40-L40</f>
        <v>2570.5075283840256</v>
      </c>
      <c r="N40" s="430">
        <f>' Фінплан освоєння '!Q16</f>
        <v>0</v>
      </c>
      <c r="O40" s="431">
        <f t="shared" ref="O40:O47" si="63">N40/$N$55*$O$57</f>
        <v>0</v>
      </c>
      <c r="P40" s="491">
        <f>I40/$I$47*$P$47</f>
        <v>2337.4662478670848</v>
      </c>
      <c r="Q40" s="432">
        <f>N40-O40-P40</f>
        <v>-2337.4662478670848</v>
      </c>
      <c r="R40" s="427">
        <f>' Фінплан освоєння '!R16</f>
        <v>10491.998</v>
      </c>
      <c r="S40" s="431">
        <f t="shared" ref="S40:S47" si="64">R40/$R$55*$S$57</f>
        <v>4677.1768371340931</v>
      </c>
      <c r="T40" s="431">
        <f t="shared" ref="T40:T47" si="65">R40/$R$55*$T$57</f>
        <v>1105.9554760503729</v>
      </c>
      <c r="U40" s="433">
        <f>R40-S40-T40</f>
        <v>4708.865686815534</v>
      </c>
      <c r="V40" s="430">
        <f>' Фінплан освоєння '!S16</f>
        <v>9204.5110000000004</v>
      </c>
      <c r="W40" s="431">
        <f t="shared" ref="W40:W47" si="66">V40/$V$55*$W$57</f>
        <v>5878.0520257891094</v>
      </c>
      <c r="X40" s="431">
        <f t="shared" ref="X40:X47" si="67">V40/$V$55*$X$57</f>
        <v>601.23679840816897</v>
      </c>
      <c r="Y40" s="434">
        <f>V40-W40-X40</f>
        <v>2725.2221758027222</v>
      </c>
      <c r="Z40" s="427">
        <f>' Фінплан освоєння '!T16</f>
        <v>5912.4830000000002</v>
      </c>
      <c r="AA40" s="431">
        <f t="shared" ref="AA40:AA47" si="68">Z40/$Z$55*$AA$57</f>
        <v>4215.4492488615506</v>
      </c>
      <c r="AB40" s="431">
        <f t="shared" ref="AB40:AB47" si="69">Z40/$Z$55*$AB$57</f>
        <v>1214.3730741371492</v>
      </c>
      <c r="AC40" s="435">
        <f>Z40-AA40-AB40</f>
        <v>482.66067700130043</v>
      </c>
      <c r="AD40" s="427">
        <f>F40+J40+N40+R40+V40+Z40</f>
        <v>47421.453999999998</v>
      </c>
      <c r="AE40" s="431">
        <f>G40+K40+O40+S40+W40+AA40</f>
        <v>16682.520726356906</v>
      </c>
      <c r="AF40" s="431">
        <f>H40+L40+P40+T40+X40+AB40</f>
        <v>11775.531491163983</v>
      </c>
      <c r="AG40" s="433">
        <f>I40+M40+Q40+U40+Y40+AC40</f>
        <v>18963.401782479108</v>
      </c>
      <c r="AH40" s="430">
        <f>' Фінплан освоєння '!W16</f>
        <v>0</v>
      </c>
      <c r="AI40" s="431">
        <f t="shared" ref="AI40:AI46" si="70">$AI$57*G65</f>
        <v>4324.796895244167</v>
      </c>
      <c r="AJ40" s="434">
        <f t="shared" ref="AJ40:AJ46" si="71">$AJ$57*G65</f>
        <v>714.73933865100446</v>
      </c>
      <c r="AK40" s="427">
        <f>' Фінплан освоєння '!Z16</f>
        <v>0</v>
      </c>
      <c r="AL40" s="431">
        <f t="shared" ref="AL40:AL46" si="72">$AL$57*G65</f>
        <v>4292.2144736595055</v>
      </c>
      <c r="AM40" s="435">
        <f t="shared" ref="AM40:AM46" si="73">$AM$57*G65</f>
        <v>747.32176023566603</v>
      </c>
      <c r="AN40" s="430">
        <f>' Фінплан освоєння '!AC16</f>
        <v>0</v>
      </c>
      <c r="AO40" s="431">
        <f t="shared" ref="AO40:AO46" si="74">$AO$57*G65</f>
        <v>4292.2144736595055</v>
      </c>
      <c r="AP40" s="434">
        <f t="shared" ref="AP40:AP46" si="75">$AP$57*G65</f>
        <v>543.01165491926372</v>
      </c>
      <c r="AQ40" s="427">
        <f>' Фінплан освоєння '!AF16</f>
        <v>0</v>
      </c>
      <c r="AR40" s="431">
        <f t="shared" ref="AR40:AR46" si="76">$AR$57*G65</f>
        <v>4049.0562904255939</v>
      </c>
      <c r="AS40" s="435">
        <f t="shared" ref="AS40:AS47" si="77">$AS$57*G65</f>
        <v>0</v>
      </c>
      <c r="AT40" s="257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>
        <f t="shared" ref="BE40:BE55" si="78">C40-AE40-AF40-AI40-AJ40-AL40-AM40-AO40-AP40-AR40-AS40</f>
        <v>-0.40710431559455174</v>
      </c>
    </row>
    <row r="41" spans="1:57" ht="20.25" customHeight="1" x14ac:dyDescent="0.25">
      <c r="A41" s="406" t="s">
        <v>131</v>
      </c>
      <c r="B41" s="400" t="s">
        <v>132</v>
      </c>
      <c r="C41" s="427">
        <v>5820</v>
      </c>
      <c r="D41" s="428">
        <f>AE41+AI41+AL41+AO41+AR41</f>
        <v>3567.5446982321405</v>
      </c>
      <c r="E41" s="429">
        <f t="shared" ref="E41:E54" si="79">AF41+AJ41+AM41+AP41+AS41</f>
        <v>2252.3441952246517</v>
      </c>
      <c r="F41" s="430">
        <v>2190.56</v>
      </c>
      <c r="G41" s="431">
        <f t="shared" si="61"/>
        <v>130.54972368248616</v>
      </c>
      <c r="H41" s="431">
        <f t="shared" ref="H41:H46" si="80">F41/$F$55*$H$57</f>
        <v>634.04816660947699</v>
      </c>
      <c r="I41" s="432">
        <f t="shared" ref="I41:I55" si="81">F41-G41-H41</f>
        <v>1425.9621097080367</v>
      </c>
      <c r="J41" s="427">
        <f>' Фінплан освоєння '!P17</f>
        <v>2795.8</v>
      </c>
      <c r="K41" s="431">
        <f t="shared" si="62"/>
        <v>495.56935139660385</v>
      </c>
      <c r="L41" s="431">
        <f t="shared" ref="L41:L47" si="82">J41/$J$55*$L$57</f>
        <v>918.35055754952077</v>
      </c>
      <c r="M41" s="433">
        <f t="shared" ref="M41:M55" si="83">J41-K41-L41</f>
        <v>1381.8800910538755</v>
      </c>
      <c r="N41" s="430">
        <f>' Фінплан освоєння '!Q17</f>
        <v>0</v>
      </c>
      <c r="O41" s="431">
        <f t="shared" si="63"/>
        <v>0</v>
      </c>
      <c r="P41" s="491">
        <f t="shared" ref="P41:P46" si="84">I41/$I$47*$P$47</f>
        <v>308.23542714379045</v>
      </c>
      <c r="Q41" s="432">
        <f t="shared" ref="Q41:Q54" si="85">N41-O41-P41</f>
        <v>-308.23542714379045</v>
      </c>
      <c r="R41" s="427">
        <f>' Фінплан освоєння '!R17</f>
        <v>833.53599999999994</v>
      </c>
      <c r="S41" s="431">
        <f t="shared" si="64"/>
        <v>371.57796561888443</v>
      </c>
      <c r="T41" s="431">
        <f t="shared" si="65"/>
        <v>87.862550458465932</v>
      </c>
      <c r="U41" s="433">
        <f t="shared" ref="U41:U55" si="86">R41-S41-T41</f>
        <v>374.09548392264958</v>
      </c>
      <c r="V41" s="430">
        <f>' Фінплан освоєння '!S17</f>
        <v>0</v>
      </c>
      <c r="W41" s="431">
        <f t="shared" si="66"/>
        <v>0</v>
      </c>
      <c r="X41" s="431">
        <f t="shared" si="67"/>
        <v>0</v>
      </c>
      <c r="Y41" s="434">
        <f t="shared" ref="Y41:Y55" si="87">V41-W41-X41</f>
        <v>0</v>
      </c>
      <c r="Z41" s="427">
        <f>' Фінплан освоєння '!T17</f>
        <v>0</v>
      </c>
      <c r="AA41" s="431">
        <f t="shared" si="68"/>
        <v>0</v>
      </c>
      <c r="AB41" s="431">
        <f t="shared" si="69"/>
        <v>0</v>
      </c>
      <c r="AC41" s="435">
        <f t="shared" ref="AC41:AC55" si="88">Z41-AA41-AB41</f>
        <v>0</v>
      </c>
      <c r="AD41" s="427">
        <f t="shared" ref="AD41:AG55" si="89">F41+J41+N41+R41+V41+Z41</f>
        <v>5819.8960000000006</v>
      </c>
      <c r="AE41" s="431">
        <f t="shared" si="89"/>
        <v>997.69704069797444</v>
      </c>
      <c r="AF41" s="431">
        <f t="shared" si="89"/>
        <v>1948.4967017612541</v>
      </c>
      <c r="AG41" s="433">
        <f t="shared" si="89"/>
        <v>2873.7022575407714</v>
      </c>
      <c r="AH41" s="430">
        <f>' Фінплан освоєння '!W17</f>
        <v>0</v>
      </c>
      <c r="AI41" s="431">
        <f t="shared" si="70"/>
        <v>655.37706492889231</v>
      </c>
      <c r="AJ41" s="434">
        <f t="shared" si="71"/>
        <v>108.31116033897978</v>
      </c>
      <c r="AK41" s="427">
        <f>' Фінплан освоєння '!Z17</f>
        <v>0</v>
      </c>
      <c r="AL41" s="431">
        <f t="shared" si="72"/>
        <v>650.43954477623197</v>
      </c>
      <c r="AM41" s="435">
        <f t="shared" si="73"/>
        <v>113.24868049164019</v>
      </c>
      <c r="AN41" s="430">
        <f>' Фінплан освоєння '!AC17</f>
        <v>0</v>
      </c>
      <c r="AO41" s="431">
        <f t="shared" si="74"/>
        <v>650.43954477623197</v>
      </c>
      <c r="AP41" s="434">
        <f t="shared" si="75"/>
        <v>82.287652632777721</v>
      </c>
      <c r="AQ41" s="427">
        <f>' Фінплан освоєння '!AF17</f>
        <v>0</v>
      </c>
      <c r="AR41" s="431">
        <f t="shared" si="76"/>
        <v>613.59150305280991</v>
      </c>
      <c r="AS41" s="435">
        <f t="shared" si="77"/>
        <v>0</v>
      </c>
      <c r="AT41" s="257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>
        <f t="shared" si="78"/>
        <v>0.11110654320737012</v>
      </c>
    </row>
    <row r="42" spans="1:57" ht="27.75" customHeight="1" x14ac:dyDescent="0.25">
      <c r="A42" s="406" t="s">
        <v>133</v>
      </c>
      <c r="B42" s="400" t="s">
        <v>134</v>
      </c>
      <c r="C42" s="427">
        <v>7813</v>
      </c>
      <c r="D42" s="428">
        <f t="shared" ref="D42:D46" si="90">AE42+AI42+AL42+AO42+AR42</f>
        <v>4651.4625538923847</v>
      </c>
      <c r="E42" s="429">
        <f t="shared" si="79"/>
        <v>3161.1028254172584</v>
      </c>
      <c r="F42" s="430">
        <v>1804.896</v>
      </c>
      <c r="G42" s="431">
        <f t="shared" si="61"/>
        <v>107.56549652857012</v>
      </c>
      <c r="H42" s="431">
        <f t="shared" si="80"/>
        <v>522.41938121794362</v>
      </c>
      <c r="I42" s="432">
        <f t="shared" si="81"/>
        <v>1174.9111222534862</v>
      </c>
      <c r="J42" s="427">
        <f>' Фінплан освоєння '!P18</f>
        <v>6007.6790000000001</v>
      </c>
      <c r="K42" s="431">
        <f t="shared" si="62"/>
        <v>1064.8907595067592</v>
      </c>
      <c r="L42" s="431">
        <f t="shared" si="82"/>
        <v>1973.3726873269002</v>
      </c>
      <c r="M42" s="433">
        <f t="shared" si="83"/>
        <v>2969.4155531663405</v>
      </c>
      <c r="N42" s="430">
        <f>' Фінплан освоєння '!Q18</f>
        <v>0</v>
      </c>
      <c r="O42" s="431">
        <f t="shared" si="63"/>
        <v>0</v>
      </c>
      <c r="P42" s="491">
        <f t="shared" si="84"/>
        <v>253.96834120504292</v>
      </c>
      <c r="Q42" s="432">
        <f t="shared" si="85"/>
        <v>-253.96834120504292</v>
      </c>
      <c r="R42" s="427">
        <f>' Фінплан освоєння '!R18</f>
        <v>0</v>
      </c>
      <c r="S42" s="431">
        <f t="shared" si="64"/>
        <v>0</v>
      </c>
      <c r="T42" s="431">
        <f t="shared" si="65"/>
        <v>0</v>
      </c>
      <c r="U42" s="433">
        <f t="shared" si="86"/>
        <v>0</v>
      </c>
      <c r="V42" s="430">
        <f>' Фінплан освоєння '!S18</f>
        <v>0</v>
      </c>
      <c r="W42" s="431">
        <f t="shared" si="66"/>
        <v>0</v>
      </c>
      <c r="X42" s="431">
        <f t="shared" si="67"/>
        <v>0</v>
      </c>
      <c r="Y42" s="434">
        <f t="shared" si="87"/>
        <v>0</v>
      </c>
      <c r="Z42" s="427">
        <f>' Фінплан освоєння '!T18</f>
        <v>0</v>
      </c>
      <c r="AA42" s="431">
        <f t="shared" si="68"/>
        <v>0</v>
      </c>
      <c r="AB42" s="431">
        <f t="shared" si="69"/>
        <v>0</v>
      </c>
      <c r="AC42" s="435">
        <f t="shared" si="88"/>
        <v>0</v>
      </c>
      <c r="AD42" s="427">
        <f t="shared" si="89"/>
        <v>7812.5749999999998</v>
      </c>
      <c r="AE42" s="431">
        <f t="shared" si="89"/>
        <v>1172.4562560353293</v>
      </c>
      <c r="AF42" s="431">
        <f t="shared" si="89"/>
        <v>2749.760409749887</v>
      </c>
      <c r="AG42" s="433">
        <f t="shared" si="89"/>
        <v>3890.3583342147836</v>
      </c>
      <c r="AH42" s="430">
        <f>' Фінплан освоєння '!W18</f>
        <v>0</v>
      </c>
      <c r="AI42" s="431">
        <f t="shared" si="70"/>
        <v>887.23583659681412</v>
      </c>
      <c r="AJ42" s="434">
        <f t="shared" si="71"/>
        <v>146.62939565416875</v>
      </c>
      <c r="AK42" s="427">
        <f>' Фінплан освоєння '!Z18</f>
        <v>0</v>
      </c>
      <c r="AL42" s="431">
        <f t="shared" si="72"/>
        <v>880.55152453008873</v>
      </c>
      <c r="AM42" s="435">
        <f t="shared" si="73"/>
        <v>153.31370772089417</v>
      </c>
      <c r="AN42" s="430">
        <f>' Фінплан освоєння '!AC18</f>
        <v>0</v>
      </c>
      <c r="AO42" s="431">
        <f t="shared" si="74"/>
        <v>880.55152453008873</v>
      </c>
      <c r="AP42" s="434">
        <f t="shared" si="75"/>
        <v>111.39931229230903</v>
      </c>
      <c r="AQ42" s="427">
        <f>' Фінплан освоєння '!AF18</f>
        <v>0</v>
      </c>
      <c r="AR42" s="431">
        <f t="shared" si="76"/>
        <v>830.66741220006418</v>
      </c>
      <c r="AS42" s="435">
        <f t="shared" si="77"/>
        <v>0</v>
      </c>
      <c r="AT42" s="257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>
        <f t="shared" si="78"/>
        <v>0.43462069035604145</v>
      </c>
    </row>
    <row r="43" spans="1:57" ht="30" x14ac:dyDescent="0.25">
      <c r="A43" s="406" t="s">
        <v>135</v>
      </c>
      <c r="B43" s="400" t="s">
        <v>136</v>
      </c>
      <c r="C43" s="427">
        <v>1737</v>
      </c>
      <c r="D43" s="428">
        <f>AE43+AI43+AL43+AO43+AR43</f>
        <v>1471.477849621941</v>
      </c>
      <c r="E43" s="429">
        <f t="shared" si="79"/>
        <v>265.52422251778512</v>
      </c>
      <c r="F43" s="430"/>
      <c r="G43" s="431">
        <f t="shared" si="61"/>
        <v>0</v>
      </c>
      <c r="H43" s="431">
        <f t="shared" si="80"/>
        <v>0</v>
      </c>
      <c r="I43" s="432">
        <f t="shared" si="81"/>
        <v>0</v>
      </c>
      <c r="J43" s="427">
        <f>' Фінплан освоєння '!P19</f>
        <v>0</v>
      </c>
      <c r="K43" s="431">
        <f t="shared" si="62"/>
        <v>0</v>
      </c>
      <c r="L43" s="431">
        <f t="shared" si="82"/>
        <v>0</v>
      </c>
      <c r="M43" s="433">
        <f t="shared" si="83"/>
        <v>0</v>
      </c>
      <c r="N43" s="430">
        <f>' Фінплан освоєння '!Q19</f>
        <v>0</v>
      </c>
      <c r="O43" s="431">
        <f t="shared" si="63"/>
        <v>0</v>
      </c>
      <c r="P43" s="491">
        <f t="shared" si="84"/>
        <v>0</v>
      </c>
      <c r="Q43" s="432">
        <f t="shared" si="85"/>
        <v>0</v>
      </c>
      <c r="R43" s="427">
        <f>' Фінплан освоєння '!R19</f>
        <v>1737.0039999999999</v>
      </c>
      <c r="S43" s="431">
        <f t="shared" si="64"/>
        <v>774.33057791368901</v>
      </c>
      <c r="T43" s="431">
        <f t="shared" si="65"/>
        <v>183.09659282449368</v>
      </c>
      <c r="U43" s="433">
        <f t="shared" si="86"/>
        <v>779.57682926181724</v>
      </c>
      <c r="V43" s="430">
        <f>' Фінплан освоєння '!S19</f>
        <v>0</v>
      </c>
      <c r="W43" s="431">
        <f t="shared" si="66"/>
        <v>0</v>
      </c>
      <c r="X43" s="431">
        <f t="shared" si="67"/>
        <v>0</v>
      </c>
      <c r="Y43" s="434">
        <f t="shared" si="87"/>
        <v>0</v>
      </c>
      <c r="Z43" s="427">
        <f>' Фінплан освоєння '!T19</f>
        <v>0</v>
      </c>
      <c r="AA43" s="431">
        <f t="shared" si="68"/>
        <v>0</v>
      </c>
      <c r="AB43" s="431">
        <f t="shared" si="69"/>
        <v>0</v>
      </c>
      <c r="AC43" s="435">
        <f t="shared" si="88"/>
        <v>0</v>
      </c>
      <c r="AD43" s="427">
        <f t="shared" si="89"/>
        <v>1737.0039999999999</v>
      </c>
      <c r="AE43" s="431">
        <f>G43+K43+O43+S43+W43+AA43</f>
        <v>774.33057791368901</v>
      </c>
      <c r="AF43" s="431">
        <f t="shared" si="89"/>
        <v>183.09659282449368</v>
      </c>
      <c r="AG43" s="433">
        <f t="shared" si="89"/>
        <v>779.57682926181724</v>
      </c>
      <c r="AH43" s="430">
        <f>' Фінплан освоєння '!W19</f>
        <v>0</v>
      </c>
      <c r="AI43" s="431">
        <f t="shared" si="70"/>
        <v>177.79043493719817</v>
      </c>
      <c r="AJ43" s="434">
        <f t="shared" si="71"/>
        <v>29.38260939495823</v>
      </c>
      <c r="AK43" s="427">
        <f>' Фінплан освоєння '!Z19</f>
        <v>0</v>
      </c>
      <c r="AL43" s="431">
        <f t="shared" si="72"/>
        <v>176.45098639310251</v>
      </c>
      <c r="AM43" s="435">
        <f t="shared" si="73"/>
        <v>30.722057939053865</v>
      </c>
      <c r="AN43" s="430">
        <f>' Фінплан освоєння '!AC19</f>
        <v>0</v>
      </c>
      <c r="AO43" s="431">
        <f t="shared" si="74"/>
        <v>176.45098639310251</v>
      </c>
      <c r="AP43" s="434">
        <f t="shared" si="75"/>
        <v>22.32296235927933</v>
      </c>
      <c r="AQ43" s="427">
        <f>' Фінплан освоєння '!AF19</f>
        <v>0</v>
      </c>
      <c r="AR43" s="431">
        <f t="shared" si="76"/>
        <v>166.45486398484886</v>
      </c>
      <c r="AS43" s="435">
        <f t="shared" si="77"/>
        <v>0</v>
      </c>
      <c r="AT43" s="257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>
        <f t="shared" si="78"/>
        <v>-2.0721397260956564E-3</v>
      </c>
    </row>
    <row r="44" spans="1:57" ht="30" x14ac:dyDescent="0.25">
      <c r="A44" s="406" t="s">
        <v>137</v>
      </c>
      <c r="B44" s="400" t="s">
        <v>138</v>
      </c>
      <c r="C44" s="427">
        <v>1928</v>
      </c>
      <c r="D44" s="428">
        <f t="shared" si="90"/>
        <v>1514.9940930054188</v>
      </c>
      <c r="E44" s="429">
        <f t="shared" si="79"/>
        <v>412.53551786899283</v>
      </c>
      <c r="F44" s="430"/>
      <c r="G44" s="431">
        <f t="shared" si="61"/>
        <v>0</v>
      </c>
      <c r="H44" s="431">
        <f t="shared" si="80"/>
        <v>0</v>
      </c>
      <c r="I44" s="432">
        <f t="shared" si="81"/>
        <v>0</v>
      </c>
      <c r="J44" s="427">
        <f>' Фінплан освоєння '!P20</f>
        <v>0</v>
      </c>
      <c r="K44" s="431">
        <f t="shared" si="62"/>
        <v>0</v>
      </c>
      <c r="L44" s="431">
        <f t="shared" si="82"/>
        <v>0</v>
      </c>
      <c r="M44" s="433">
        <f t="shared" si="83"/>
        <v>0</v>
      </c>
      <c r="N44" s="430">
        <f>' Фінплан освоєння '!Q20</f>
        <v>0</v>
      </c>
      <c r="O44" s="431">
        <f t="shared" si="63"/>
        <v>0</v>
      </c>
      <c r="P44" s="491">
        <f t="shared" si="84"/>
        <v>0</v>
      </c>
      <c r="Q44" s="432">
        <f t="shared" si="85"/>
        <v>0</v>
      </c>
      <c r="R44" s="427">
        <f>' Фінплан освоєння '!R20</f>
        <v>0</v>
      </c>
      <c r="S44" s="431">
        <f t="shared" si="64"/>
        <v>0</v>
      </c>
      <c r="T44" s="431">
        <f t="shared" si="65"/>
        <v>0</v>
      </c>
      <c r="U44" s="433">
        <f t="shared" si="86"/>
        <v>0</v>
      </c>
      <c r="V44" s="430">
        <f>' Фінплан освоєння '!S20</f>
        <v>0</v>
      </c>
      <c r="W44" s="431">
        <f t="shared" si="66"/>
        <v>0</v>
      </c>
      <c r="X44" s="431">
        <f t="shared" si="67"/>
        <v>0</v>
      </c>
      <c r="Y44" s="434">
        <f t="shared" si="87"/>
        <v>0</v>
      </c>
      <c r="Z44" s="427">
        <f>' Фінплан освоєння '!T20</f>
        <v>1927.53</v>
      </c>
      <c r="AA44" s="431">
        <f t="shared" si="68"/>
        <v>1374.2796200273394</v>
      </c>
      <c r="AB44" s="431">
        <f t="shared" si="69"/>
        <v>395.89805697396156</v>
      </c>
      <c r="AC44" s="435">
        <f t="shared" si="88"/>
        <v>157.35232299869898</v>
      </c>
      <c r="AD44" s="427">
        <f t="shared" si="89"/>
        <v>1927.53</v>
      </c>
      <c r="AE44" s="431">
        <f t="shared" si="89"/>
        <v>1374.2796200273394</v>
      </c>
      <c r="AF44" s="431">
        <f t="shared" si="89"/>
        <v>395.89805697396156</v>
      </c>
      <c r="AG44" s="433">
        <f t="shared" si="89"/>
        <v>157.35232299869898</v>
      </c>
      <c r="AH44" s="430">
        <f>' Фінплан освоєння '!W20</f>
        <v>0</v>
      </c>
      <c r="AI44" s="431">
        <f t="shared" si="70"/>
        <v>35.885799698289468</v>
      </c>
      <c r="AJ44" s="434">
        <f t="shared" si="71"/>
        <v>5.9306814550119471</v>
      </c>
      <c r="AK44" s="427">
        <f>' Фінплан освоєння '!Z20</f>
        <v>0</v>
      </c>
      <c r="AL44" s="431">
        <f t="shared" si="72"/>
        <v>35.615441047237397</v>
      </c>
      <c r="AM44" s="435">
        <f t="shared" si="73"/>
        <v>6.2010401060640161</v>
      </c>
      <c r="AN44" s="430">
        <f>' Фінплан освоєння '!AC20</f>
        <v>0</v>
      </c>
      <c r="AO44" s="431">
        <f t="shared" si="74"/>
        <v>35.615441047237397</v>
      </c>
      <c r="AP44" s="434">
        <f t="shared" si="75"/>
        <v>4.5057393339552947</v>
      </c>
      <c r="AQ44" s="427">
        <f>' Фінплан освоєння '!AF20</f>
        <v>0</v>
      </c>
      <c r="AR44" s="431">
        <f t="shared" si="76"/>
        <v>33.597791185314925</v>
      </c>
      <c r="AS44" s="435">
        <f t="shared" si="77"/>
        <v>0</v>
      </c>
      <c r="AT44" s="257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>
        <f t="shared" si="78"/>
        <v>0.47038912558855372</v>
      </c>
    </row>
    <row r="45" spans="1:57" ht="30" x14ac:dyDescent="0.25">
      <c r="A45" s="406" t="s">
        <v>139</v>
      </c>
      <c r="B45" s="400" t="s">
        <v>140</v>
      </c>
      <c r="C45" s="427">
        <v>1024</v>
      </c>
      <c r="D45" s="428">
        <f t="shared" si="90"/>
        <v>924.91623611633236</v>
      </c>
      <c r="E45" s="429">
        <f t="shared" si="79"/>
        <v>98.929014244166865</v>
      </c>
      <c r="F45" s="430"/>
      <c r="G45" s="431">
        <f t="shared" si="61"/>
        <v>0</v>
      </c>
      <c r="H45" s="431">
        <f t="shared" si="80"/>
        <v>0</v>
      </c>
      <c r="I45" s="432">
        <f t="shared" si="81"/>
        <v>0</v>
      </c>
      <c r="J45" s="427">
        <f>' Фінплан освоєння '!P21</f>
        <v>0</v>
      </c>
      <c r="K45" s="431">
        <f t="shared" si="62"/>
        <v>0</v>
      </c>
      <c r="L45" s="431">
        <f t="shared" si="82"/>
        <v>0</v>
      </c>
      <c r="M45" s="433">
        <f t="shared" si="83"/>
        <v>0</v>
      </c>
      <c r="N45" s="430">
        <f>' Фінплан освоєння '!Q21</f>
        <v>0</v>
      </c>
      <c r="O45" s="431">
        <f t="shared" si="63"/>
        <v>0</v>
      </c>
      <c r="P45" s="491">
        <f t="shared" si="84"/>
        <v>0</v>
      </c>
      <c r="Q45" s="432">
        <f t="shared" si="85"/>
        <v>0</v>
      </c>
      <c r="R45" s="427">
        <f>' Фінплан освоєння '!R21</f>
        <v>0</v>
      </c>
      <c r="S45" s="431">
        <f t="shared" si="64"/>
        <v>0</v>
      </c>
      <c r="T45" s="431">
        <f t="shared" si="65"/>
        <v>0</v>
      </c>
      <c r="U45" s="433">
        <f t="shared" si="86"/>
        <v>0</v>
      </c>
      <c r="V45" s="430">
        <f>' Фінплан освоєння '!S21</f>
        <v>1023.846</v>
      </c>
      <c r="W45" s="431">
        <f t="shared" si="66"/>
        <v>653.83376198866802</v>
      </c>
      <c r="X45" s="431">
        <f t="shared" si="67"/>
        <v>66.877413814053796</v>
      </c>
      <c r="Y45" s="434">
        <f t="shared" si="87"/>
        <v>303.13482419727819</v>
      </c>
      <c r="Z45" s="427">
        <f>' Фінплан освоєння '!T21</f>
        <v>0</v>
      </c>
      <c r="AA45" s="431">
        <f t="shared" si="68"/>
        <v>0</v>
      </c>
      <c r="AB45" s="431">
        <f t="shared" si="69"/>
        <v>0</v>
      </c>
      <c r="AC45" s="435">
        <f t="shared" si="88"/>
        <v>0</v>
      </c>
      <c r="AD45" s="427">
        <f t="shared" si="89"/>
        <v>1023.846</v>
      </c>
      <c r="AE45" s="431">
        <f t="shared" si="89"/>
        <v>653.83376198866802</v>
      </c>
      <c r="AF45" s="431">
        <f t="shared" si="89"/>
        <v>66.877413814053796</v>
      </c>
      <c r="AG45" s="433">
        <f t="shared" si="89"/>
        <v>303.13482419727819</v>
      </c>
      <c r="AH45" s="430">
        <f>' Фінплан освоєння '!W21</f>
        <v>0</v>
      </c>
      <c r="AI45" s="431">
        <f t="shared" si="70"/>
        <v>69.13298371076263</v>
      </c>
      <c r="AJ45" s="434">
        <f t="shared" si="71"/>
        <v>11.425291002853319</v>
      </c>
      <c r="AK45" s="427">
        <f>' Фінплан освоєння '!Z21</f>
        <v>0</v>
      </c>
      <c r="AL45" s="431">
        <f t="shared" si="72"/>
        <v>68.612145374251014</v>
      </c>
      <c r="AM45" s="435">
        <f t="shared" si="73"/>
        <v>11.946129339364942</v>
      </c>
      <c r="AN45" s="430">
        <f>' Фінплан освоєння '!AC21</f>
        <v>0</v>
      </c>
      <c r="AO45" s="431">
        <f t="shared" si="74"/>
        <v>68.612145374251014</v>
      </c>
      <c r="AP45" s="434">
        <f t="shared" si="75"/>
        <v>8.6801800878948114</v>
      </c>
      <c r="AQ45" s="427">
        <f>' Фінплан освоєння '!AF21</f>
        <v>0</v>
      </c>
      <c r="AR45" s="431">
        <f t="shared" si="76"/>
        <v>64.72519966839964</v>
      </c>
      <c r="AS45" s="435">
        <f t="shared" si="77"/>
        <v>0</v>
      </c>
      <c r="AT45" s="257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>
        <f t="shared" si="78"/>
        <v>0.15474963950080678</v>
      </c>
    </row>
    <row r="46" spans="1:57" ht="30" x14ac:dyDescent="0.25">
      <c r="A46" s="406" t="s">
        <v>141</v>
      </c>
      <c r="B46" s="400" t="s">
        <v>142</v>
      </c>
      <c r="C46" s="427">
        <v>253</v>
      </c>
      <c r="D46" s="428">
        <f t="shared" si="90"/>
        <v>154.74920423054715</v>
      </c>
      <c r="E46" s="429">
        <f t="shared" si="79"/>
        <v>98.577485312777569</v>
      </c>
      <c r="F46" s="430">
        <v>20.574000000000002</v>
      </c>
      <c r="G46" s="431">
        <f t="shared" si="61"/>
        <v>1.2261385285239714</v>
      </c>
      <c r="H46" s="431">
        <f t="shared" si="80"/>
        <v>5.9550557756114326</v>
      </c>
      <c r="I46" s="432">
        <f t="shared" si="81"/>
        <v>13.392805695864597</v>
      </c>
      <c r="J46" s="427">
        <f>' Фінплан освоєння '!P22</f>
        <v>232.75299999999999</v>
      </c>
      <c r="K46" s="431">
        <f t="shared" si="62"/>
        <v>41.256618229348923</v>
      </c>
      <c r="L46" s="431">
        <f t="shared" si="82"/>
        <v>76.453554374892192</v>
      </c>
      <c r="M46" s="433">
        <f t="shared" si="83"/>
        <v>115.04282739575886</v>
      </c>
      <c r="N46" s="430">
        <f>' Фінплан освоєння '!Q22</f>
        <v>0</v>
      </c>
      <c r="O46" s="431">
        <f t="shared" si="63"/>
        <v>0</v>
      </c>
      <c r="P46" s="491">
        <f t="shared" si="84"/>
        <v>2.8949837840809409</v>
      </c>
      <c r="Q46" s="432">
        <f t="shared" si="85"/>
        <v>-2.8949837840809409</v>
      </c>
      <c r="R46" s="427">
        <f>' Фінплан освоєння '!R22</f>
        <v>0</v>
      </c>
      <c r="S46" s="431">
        <f t="shared" si="64"/>
        <v>0</v>
      </c>
      <c r="T46" s="431">
        <f t="shared" si="65"/>
        <v>0</v>
      </c>
      <c r="U46" s="433">
        <f t="shared" si="86"/>
        <v>0</v>
      </c>
      <c r="V46" s="430">
        <f>' Фінплан освоєння '!S22</f>
        <v>0</v>
      </c>
      <c r="W46" s="431">
        <f t="shared" si="66"/>
        <v>0</v>
      </c>
      <c r="X46" s="431">
        <f t="shared" si="67"/>
        <v>0</v>
      </c>
      <c r="Y46" s="434">
        <f t="shared" si="87"/>
        <v>0</v>
      </c>
      <c r="Z46" s="427">
        <f>' Фінплан освоєння '!T22</f>
        <v>0</v>
      </c>
      <c r="AA46" s="431">
        <f t="shared" si="68"/>
        <v>0</v>
      </c>
      <c r="AB46" s="431">
        <f t="shared" si="69"/>
        <v>0</v>
      </c>
      <c r="AC46" s="435">
        <f t="shared" si="88"/>
        <v>0</v>
      </c>
      <c r="AD46" s="427">
        <f t="shared" si="89"/>
        <v>253.327</v>
      </c>
      <c r="AE46" s="431">
        <f t="shared" si="89"/>
        <v>42.482756757872892</v>
      </c>
      <c r="AF46" s="431">
        <f t="shared" si="89"/>
        <v>85.303593934584555</v>
      </c>
      <c r="AG46" s="433">
        <f t="shared" si="89"/>
        <v>125.54064930754252</v>
      </c>
      <c r="AH46" s="430">
        <f>' Фінплан освоєння '!W22</f>
        <v>0</v>
      </c>
      <c r="AI46" s="431">
        <f t="shared" si="70"/>
        <v>28.6308235505422</v>
      </c>
      <c r="AJ46" s="434">
        <f t="shared" si="71"/>
        <v>4.7316848363564166</v>
      </c>
      <c r="AK46" s="427">
        <f>' Фінплан освоєння '!Z22</f>
        <v>0</v>
      </c>
      <c r="AL46" s="431">
        <f t="shared" si="72"/>
        <v>28.415122886248422</v>
      </c>
      <c r="AM46" s="435">
        <f t="shared" si="73"/>
        <v>4.9473855006501912</v>
      </c>
      <c r="AN46" s="430">
        <f>' Фінплан освоєння '!AC22</f>
        <v>0</v>
      </c>
      <c r="AO46" s="431">
        <f t="shared" si="74"/>
        <v>28.415122886248422</v>
      </c>
      <c r="AP46" s="434">
        <f t="shared" si="75"/>
        <v>3.5948210411864006</v>
      </c>
      <c r="AQ46" s="427">
        <f>' Фінплан освоєння '!AF22</f>
        <v>0</v>
      </c>
      <c r="AR46" s="431">
        <f t="shared" si="76"/>
        <v>26.805378149635192</v>
      </c>
      <c r="AS46" s="435">
        <f t="shared" si="77"/>
        <v>0</v>
      </c>
      <c r="AT46" s="257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>
        <f t="shared" si="78"/>
        <v>-0.32668954332470435</v>
      </c>
    </row>
    <row r="47" spans="1:57" s="381" customFormat="1" ht="18" customHeight="1" x14ac:dyDescent="0.25">
      <c r="A47" s="405" t="s">
        <v>143</v>
      </c>
      <c r="B47" s="399"/>
      <c r="C47" s="436">
        <f>SUM(C40:C46)</f>
        <v>65996</v>
      </c>
      <c r="D47" s="437">
        <f>AE47+AI47+AL47+AO47+AR47</f>
        <v>45925.947494444437</v>
      </c>
      <c r="E47" s="438">
        <f t="shared" si="79"/>
        <v>20069.617505555547</v>
      </c>
      <c r="F47" s="439">
        <f>SUM(F39:F46)</f>
        <v>20627.878000000001</v>
      </c>
      <c r="G47" s="440">
        <f t="shared" si="61"/>
        <v>1229.3494691111111</v>
      </c>
      <c r="H47" s="440">
        <f>SUM(H40:H46)</f>
        <v>5970.6505308888873</v>
      </c>
      <c r="I47" s="441">
        <f t="shared" si="81"/>
        <v>13427.878000000001</v>
      </c>
      <c r="J47" s="436">
        <f>' Фінплан освоєння '!P23</f>
        <v>14236.846000000001</v>
      </c>
      <c r="K47" s="440">
        <f t="shared" si="62"/>
        <v>2523.5512333333336</v>
      </c>
      <c r="L47" s="440">
        <f t="shared" si="82"/>
        <v>4676.4487666666664</v>
      </c>
      <c r="M47" s="442">
        <f t="shared" si="83"/>
        <v>7036.8460000000014</v>
      </c>
      <c r="N47" s="439">
        <f>' Фінплан освоєння '!Q23</f>
        <v>0</v>
      </c>
      <c r="O47" s="440">
        <f t="shared" si="63"/>
        <v>0</v>
      </c>
      <c r="P47" s="492">
        <f>P57-P53</f>
        <v>2902.5649999999996</v>
      </c>
      <c r="Q47" s="441">
        <f t="shared" si="85"/>
        <v>-2902.5649999999996</v>
      </c>
      <c r="R47" s="436">
        <f>' Фінплан освоєння '!R23</f>
        <v>13062.538</v>
      </c>
      <c r="S47" s="440">
        <f t="shared" si="64"/>
        <v>5823.0853806666673</v>
      </c>
      <c r="T47" s="440">
        <f t="shared" si="65"/>
        <v>1376.9146193333327</v>
      </c>
      <c r="U47" s="442">
        <f t="shared" si="86"/>
        <v>5862.5380000000005</v>
      </c>
      <c r="V47" s="439">
        <f>' Фінплан освоєння '!S23</f>
        <v>10228.357</v>
      </c>
      <c r="W47" s="440">
        <f t="shared" si="66"/>
        <v>6531.8857877777773</v>
      </c>
      <c r="X47" s="440">
        <f t="shared" si="67"/>
        <v>668.1142122222227</v>
      </c>
      <c r="Y47" s="443">
        <f t="shared" si="87"/>
        <v>3028.357</v>
      </c>
      <c r="Z47" s="436">
        <f>' Фінплан освоєння '!T23</f>
        <v>7840.0129999999999</v>
      </c>
      <c r="AA47" s="440">
        <f t="shared" si="68"/>
        <v>5589.7288688888893</v>
      </c>
      <c r="AB47" s="440">
        <f t="shared" si="69"/>
        <v>1610.2711311111107</v>
      </c>
      <c r="AC47" s="444">
        <f t="shared" si="88"/>
        <v>640.01299999999992</v>
      </c>
      <c r="AD47" s="436">
        <f t="shared" si="89"/>
        <v>65995.632000000012</v>
      </c>
      <c r="AE47" s="440">
        <f t="shared" si="89"/>
        <v>21697.600739777779</v>
      </c>
      <c r="AF47" s="440">
        <f t="shared" si="89"/>
        <v>17204.964260222216</v>
      </c>
      <c r="AG47" s="442">
        <f t="shared" si="89"/>
        <v>27093.067000000003</v>
      </c>
      <c r="AH47" s="439">
        <f>' Фінплан освоєння '!W23</f>
        <v>0</v>
      </c>
      <c r="AI47" s="440">
        <f>SUM(AI40:AI46)</f>
        <v>6178.8498386666661</v>
      </c>
      <c r="AJ47" s="443">
        <f>SUM(AJ40:AJ46)</f>
        <v>1021.1501613333329</v>
      </c>
      <c r="AK47" s="436">
        <f>' Фінплан освоєння '!Z23</f>
        <v>0</v>
      </c>
      <c r="AL47" s="440">
        <f t="shared" ref="AL47:AR47" si="91">SUM(AL40:AL46)</f>
        <v>6132.2992386666647</v>
      </c>
      <c r="AM47" s="444">
        <f t="shared" si="91"/>
        <v>1067.7007613333335</v>
      </c>
      <c r="AN47" s="439">
        <f>' Фінплан освоєння '!AC23</f>
        <v>0</v>
      </c>
      <c r="AO47" s="440">
        <f t="shared" si="91"/>
        <v>6132.2992386666647</v>
      </c>
      <c r="AP47" s="443">
        <f t="shared" si="91"/>
        <v>775.80232266666621</v>
      </c>
      <c r="AQ47" s="436">
        <f>' Фінплан освоєння '!AF23</f>
        <v>0</v>
      </c>
      <c r="AR47" s="440">
        <f t="shared" si="91"/>
        <v>5784.8984386666671</v>
      </c>
      <c r="AS47" s="444">
        <f t="shared" si="77"/>
        <v>0</v>
      </c>
      <c r="AT47" s="320"/>
      <c r="AU47" s="382"/>
      <c r="AV47" s="382"/>
      <c r="AW47" s="382"/>
      <c r="AX47" s="382"/>
      <c r="AY47" s="382"/>
      <c r="AZ47" s="382"/>
      <c r="BA47" s="382"/>
      <c r="BB47" s="382"/>
      <c r="BC47" s="382"/>
      <c r="BD47" s="382"/>
      <c r="BE47" s="382">
        <f t="shared" si="78"/>
        <v>0.43500000001222361</v>
      </c>
    </row>
    <row r="48" spans="1:57" s="381" customFormat="1" ht="36.75" customHeight="1" x14ac:dyDescent="0.25">
      <c r="A48" s="405" t="s">
        <v>144</v>
      </c>
      <c r="B48" s="399" t="s">
        <v>145</v>
      </c>
      <c r="C48" s="436"/>
      <c r="D48" s="437"/>
      <c r="E48" s="438"/>
      <c r="F48" s="439"/>
      <c r="G48" s="440"/>
      <c r="H48" s="440"/>
      <c r="I48" s="441"/>
      <c r="J48" s="436"/>
      <c r="K48" s="440"/>
      <c r="L48" s="440"/>
      <c r="M48" s="442"/>
      <c r="N48" s="439"/>
      <c r="O48" s="440"/>
      <c r="P48" s="440"/>
      <c r="Q48" s="441"/>
      <c r="R48" s="436"/>
      <c r="S48" s="440"/>
      <c r="T48" s="440"/>
      <c r="U48" s="442"/>
      <c r="V48" s="439"/>
      <c r="W48" s="440"/>
      <c r="X48" s="440"/>
      <c r="Y48" s="443"/>
      <c r="Z48" s="436"/>
      <c r="AA48" s="440"/>
      <c r="AB48" s="440"/>
      <c r="AC48" s="444"/>
      <c r="AD48" s="436"/>
      <c r="AE48" s="440"/>
      <c r="AF48" s="440"/>
      <c r="AG48" s="442"/>
      <c r="AH48" s="439"/>
      <c r="AI48" s="440"/>
      <c r="AJ48" s="443"/>
      <c r="AK48" s="436"/>
      <c r="AL48" s="440"/>
      <c r="AM48" s="444"/>
      <c r="AN48" s="439"/>
      <c r="AO48" s="440"/>
      <c r="AP48" s="443"/>
      <c r="AQ48" s="436"/>
      <c r="AR48" s="440"/>
      <c r="AS48" s="444"/>
      <c r="AT48" s="320"/>
      <c r="AU48" s="382"/>
      <c r="AV48" s="382"/>
      <c r="AW48" s="382"/>
      <c r="AX48" s="382"/>
      <c r="AY48" s="382"/>
      <c r="AZ48" s="382"/>
      <c r="BA48" s="382"/>
      <c r="BB48" s="382"/>
      <c r="BC48" s="382"/>
      <c r="BD48" s="382"/>
      <c r="BE48" s="382">
        <f t="shared" si="78"/>
        <v>0</v>
      </c>
    </row>
    <row r="49" spans="1:57" ht="28.5" customHeight="1" x14ac:dyDescent="0.25">
      <c r="A49" s="406" t="s">
        <v>146</v>
      </c>
      <c r="B49" s="400" t="s">
        <v>147</v>
      </c>
      <c r="C49" s="427"/>
      <c r="D49" s="428"/>
      <c r="E49" s="429"/>
      <c r="F49" s="430"/>
      <c r="G49" s="431"/>
      <c r="H49" s="431"/>
      <c r="I49" s="432"/>
      <c r="J49" s="427"/>
      <c r="K49" s="431"/>
      <c r="L49" s="431"/>
      <c r="M49" s="433"/>
      <c r="N49" s="430"/>
      <c r="O49" s="431"/>
      <c r="P49" s="431"/>
      <c r="Q49" s="432"/>
      <c r="R49" s="427"/>
      <c r="S49" s="431"/>
      <c r="T49" s="431"/>
      <c r="U49" s="433"/>
      <c r="V49" s="430"/>
      <c r="W49" s="431"/>
      <c r="X49" s="431"/>
      <c r="Y49" s="434"/>
      <c r="Z49" s="427"/>
      <c r="AA49" s="431"/>
      <c r="AB49" s="431"/>
      <c r="AC49" s="435"/>
      <c r="AD49" s="427"/>
      <c r="AE49" s="431"/>
      <c r="AF49" s="431"/>
      <c r="AG49" s="433"/>
      <c r="AH49" s="430"/>
      <c r="AI49" s="431"/>
      <c r="AJ49" s="434"/>
      <c r="AK49" s="427"/>
      <c r="AL49" s="431"/>
      <c r="AM49" s="435"/>
      <c r="AN49" s="430"/>
      <c r="AO49" s="431"/>
      <c r="AP49" s="434"/>
      <c r="AQ49" s="427"/>
      <c r="AR49" s="431"/>
      <c r="AS49" s="435"/>
      <c r="AT49" s="257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>
        <f t="shared" si="78"/>
        <v>0</v>
      </c>
    </row>
    <row r="50" spans="1:57" ht="28.5" customHeight="1" x14ac:dyDescent="0.25">
      <c r="A50" s="406" t="s">
        <v>148</v>
      </c>
      <c r="B50" s="400" t="s">
        <v>149</v>
      </c>
      <c r="C50" s="427"/>
      <c r="D50" s="428"/>
      <c r="E50" s="429"/>
      <c r="F50" s="430"/>
      <c r="G50" s="431"/>
      <c r="H50" s="431"/>
      <c r="I50" s="432"/>
      <c r="J50" s="427"/>
      <c r="K50" s="431"/>
      <c r="L50" s="431"/>
      <c r="M50" s="433"/>
      <c r="N50" s="430"/>
      <c r="O50" s="431"/>
      <c r="P50" s="431"/>
      <c r="Q50" s="432"/>
      <c r="R50" s="427"/>
      <c r="S50" s="431"/>
      <c r="T50" s="431"/>
      <c r="U50" s="433"/>
      <c r="V50" s="430"/>
      <c r="W50" s="431"/>
      <c r="X50" s="431"/>
      <c r="Y50" s="434"/>
      <c r="Z50" s="427"/>
      <c r="AA50" s="431"/>
      <c r="AB50" s="431"/>
      <c r="AC50" s="435"/>
      <c r="AD50" s="427"/>
      <c r="AE50" s="431"/>
      <c r="AF50" s="431"/>
      <c r="AG50" s="433"/>
      <c r="AH50" s="430"/>
      <c r="AI50" s="431"/>
      <c r="AJ50" s="434"/>
      <c r="AK50" s="427"/>
      <c r="AL50" s="431"/>
      <c r="AM50" s="435"/>
      <c r="AN50" s="430"/>
      <c r="AO50" s="431"/>
      <c r="AP50" s="434"/>
      <c r="AQ50" s="427"/>
      <c r="AR50" s="431"/>
      <c r="AS50" s="435"/>
      <c r="AT50" s="257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>
        <f t="shared" si="78"/>
        <v>0</v>
      </c>
    </row>
    <row r="51" spans="1:57" ht="22.5" customHeight="1" x14ac:dyDescent="0.25">
      <c r="A51" s="405" t="s">
        <v>150</v>
      </c>
      <c r="B51" s="399"/>
      <c r="C51" s="436"/>
      <c r="D51" s="428"/>
      <c r="E51" s="429"/>
      <c r="F51" s="439"/>
      <c r="G51" s="440"/>
      <c r="H51" s="440"/>
      <c r="I51" s="432"/>
      <c r="J51" s="436"/>
      <c r="K51" s="440"/>
      <c r="L51" s="440"/>
      <c r="M51" s="433"/>
      <c r="N51" s="439"/>
      <c r="O51" s="440"/>
      <c r="P51" s="431"/>
      <c r="Q51" s="432"/>
      <c r="R51" s="436"/>
      <c r="S51" s="440"/>
      <c r="T51" s="431"/>
      <c r="U51" s="433"/>
      <c r="V51" s="439"/>
      <c r="W51" s="440"/>
      <c r="X51" s="440"/>
      <c r="Y51" s="434"/>
      <c r="Z51" s="436"/>
      <c r="AA51" s="440"/>
      <c r="AB51" s="440"/>
      <c r="AC51" s="435"/>
      <c r="AD51" s="436"/>
      <c r="AE51" s="440"/>
      <c r="AF51" s="440"/>
      <c r="AG51" s="433"/>
      <c r="AH51" s="439"/>
      <c r="AI51" s="431"/>
      <c r="AJ51" s="443"/>
      <c r="AK51" s="436"/>
      <c r="AL51" s="431"/>
      <c r="AM51" s="444"/>
      <c r="AN51" s="439"/>
      <c r="AO51" s="431"/>
      <c r="AP51" s="443"/>
      <c r="AQ51" s="436"/>
      <c r="AR51" s="440"/>
      <c r="AS51" s="444"/>
      <c r="AT51" s="320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>
        <f t="shared" si="78"/>
        <v>0</v>
      </c>
    </row>
    <row r="52" spans="1:57" s="381" customFormat="1" ht="29.25" x14ac:dyDescent="0.25">
      <c r="A52" s="405" t="s">
        <v>151</v>
      </c>
      <c r="B52" s="399" t="s">
        <v>152</v>
      </c>
      <c r="C52" s="436"/>
      <c r="D52" s="437"/>
      <c r="E52" s="438"/>
      <c r="F52" s="439"/>
      <c r="G52" s="440"/>
      <c r="H52" s="440"/>
      <c r="I52" s="441"/>
      <c r="J52" s="436"/>
      <c r="K52" s="440"/>
      <c r="L52" s="440"/>
      <c r="M52" s="442"/>
      <c r="N52" s="439"/>
      <c r="O52" s="440"/>
      <c r="P52" s="440"/>
      <c r="Q52" s="441"/>
      <c r="R52" s="436"/>
      <c r="S52" s="440"/>
      <c r="T52" s="440"/>
      <c r="U52" s="442"/>
      <c r="V52" s="439"/>
      <c r="W52" s="440"/>
      <c r="X52" s="440"/>
      <c r="Y52" s="443"/>
      <c r="Z52" s="436"/>
      <c r="AA52" s="440"/>
      <c r="AB52" s="440"/>
      <c r="AC52" s="444"/>
      <c r="AD52" s="436"/>
      <c r="AE52" s="440"/>
      <c r="AF52" s="440"/>
      <c r="AG52" s="442"/>
      <c r="AH52" s="439"/>
      <c r="AI52" s="440"/>
      <c r="AJ52" s="443"/>
      <c r="AK52" s="436"/>
      <c r="AL52" s="440"/>
      <c r="AM52" s="444"/>
      <c r="AN52" s="439"/>
      <c r="AO52" s="440"/>
      <c r="AP52" s="443"/>
      <c r="AQ52" s="436"/>
      <c r="AR52" s="440"/>
      <c r="AS52" s="444"/>
      <c r="AT52" s="320"/>
      <c r="AU52" s="382"/>
      <c r="AV52" s="382"/>
      <c r="AW52" s="382"/>
      <c r="AX52" s="382"/>
      <c r="AY52" s="382"/>
      <c r="AZ52" s="382"/>
      <c r="BA52" s="382"/>
      <c r="BB52" s="382"/>
      <c r="BC52" s="382"/>
      <c r="BD52" s="382"/>
      <c r="BE52" s="382">
        <f t="shared" si="78"/>
        <v>0</v>
      </c>
    </row>
    <row r="53" spans="1:57" ht="30" x14ac:dyDescent="0.25">
      <c r="A53" s="406"/>
      <c r="B53" s="400" t="s">
        <v>153</v>
      </c>
      <c r="C53" s="427">
        <v>4297</v>
      </c>
      <c r="D53" s="428">
        <f t="shared" ref="D53" si="92">AE53+AI53+AL53+AO53+AR53</f>
        <v>3937.9308459999993</v>
      </c>
      <c r="E53" s="429">
        <f t="shared" si="79"/>
        <v>359.50415400000111</v>
      </c>
      <c r="F53" s="430">
        <f>' Фінплан освоєння '!O30</f>
        <v>0</v>
      </c>
      <c r="G53" s="431">
        <f>F53/$F$55*$G$57</f>
        <v>0</v>
      </c>
      <c r="H53" s="431">
        <f t="shared" ref="H53" si="93">F53/$F$55*$H$57</f>
        <v>0</v>
      </c>
      <c r="I53" s="432">
        <f t="shared" si="81"/>
        <v>0</v>
      </c>
      <c r="J53" s="427">
        <f>' Фінплан освоєння '!P29</f>
        <v>0</v>
      </c>
      <c r="K53" s="431">
        <f>J53/$J$55*$K$57</f>
        <v>0</v>
      </c>
      <c r="L53" s="431">
        <f>J53/$J$55*$L$57</f>
        <v>0</v>
      </c>
      <c r="M53" s="433">
        <f t="shared" si="83"/>
        <v>0</v>
      </c>
      <c r="N53" s="430">
        <f>' Фінплан освоєння '!Q29</f>
        <v>4297.4350000000004</v>
      </c>
      <c r="O53" s="440">
        <f>N53/$N$55*$O$57</f>
        <v>3937.9308459999993</v>
      </c>
      <c r="P53" s="491">
        <f>N53-O53</f>
        <v>359.50415400000111</v>
      </c>
      <c r="Q53" s="432">
        <f t="shared" si="85"/>
        <v>0</v>
      </c>
      <c r="R53" s="427">
        <f>' Фінплан освоєння '!R29</f>
        <v>0</v>
      </c>
      <c r="S53" s="431">
        <f>R53/$R$55*$S$57</f>
        <v>0</v>
      </c>
      <c r="T53" s="431">
        <f>R53/$R$55*$T$57</f>
        <v>0</v>
      </c>
      <c r="U53" s="433">
        <f t="shared" si="86"/>
        <v>0</v>
      </c>
      <c r="V53" s="430">
        <f>' Фінплан освоєння '!S29</f>
        <v>0</v>
      </c>
      <c r="W53" s="431">
        <f>V53/$V$55*$W$57</f>
        <v>0</v>
      </c>
      <c r="X53" s="431">
        <f>V53/$V$55*$X$57</f>
        <v>0</v>
      </c>
      <c r="Y53" s="434">
        <f t="shared" si="87"/>
        <v>0</v>
      </c>
      <c r="Z53" s="427">
        <f>' Фінплан освоєння '!T29</f>
        <v>0</v>
      </c>
      <c r="AA53" s="431">
        <f>Z53/$Z$55*$AA$57</f>
        <v>0</v>
      </c>
      <c r="AB53" s="431">
        <f>Z53/$Z$55*$AB$57</f>
        <v>0</v>
      </c>
      <c r="AC53" s="435">
        <f t="shared" si="88"/>
        <v>0</v>
      </c>
      <c r="AD53" s="427">
        <f t="shared" si="89"/>
        <v>4297.4350000000004</v>
      </c>
      <c r="AE53" s="431">
        <f t="shared" si="89"/>
        <v>3937.9308459999993</v>
      </c>
      <c r="AF53" s="431">
        <f t="shared" si="89"/>
        <v>359.50415400000111</v>
      </c>
      <c r="AG53" s="433">
        <f t="shared" si="89"/>
        <v>0</v>
      </c>
      <c r="AH53" s="430">
        <f>' Фінплан освоєння '!W29</f>
        <v>0</v>
      </c>
      <c r="AI53" s="431">
        <f>$AI$57*G78</f>
        <v>0</v>
      </c>
      <c r="AJ53" s="434">
        <f>$AJ$57*G78</f>
        <v>0</v>
      </c>
      <c r="AK53" s="427">
        <f>' Фінплан освоєння '!Z29</f>
        <v>0</v>
      </c>
      <c r="AL53" s="431">
        <f>$AL$57*G78</f>
        <v>0</v>
      </c>
      <c r="AM53" s="435">
        <f>$AM$57*G78</f>
        <v>0</v>
      </c>
      <c r="AN53" s="430">
        <f>' Фінплан освоєння '!AC29</f>
        <v>0</v>
      </c>
      <c r="AO53" s="431">
        <f>$AO$57*G78</f>
        <v>0</v>
      </c>
      <c r="AP53" s="434">
        <f>$AP$57*G78</f>
        <v>0</v>
      </c>
      <c r="AQ53" s="427">
        <f>' Фінплан освоєння '!AF29</f>
        <v>0</v>
      </c>
      <c r="AR53" s="431">
        <f>$AR$57*G78</f>
        <v>0</v>
      </c>
      <c r="AS53" s="435">
        <f>$AS$57*G78</f>
        <v>0</v>
      </c>
      <c r="AT53" s="257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>
        <f t="shared" si="78"/>
        <v>-0.43500000000040018</v>
      </c>
    </row>
    <row r="54" spans="1:57" s="381" customFormat="1" ht="22.5" customHeight="1" thickBot="1" x14ac:dyDescent="0.3">
      <c r="A54" s="418" t="s">
        <v>154</v>
      </c>
      <c r="B54" s="419"/>
      <c r="C54" s="445">
        <f>C53</f>
        <v>4297</v>
      </c>
      <c r="D54" s="446">
        <f>AE54+AI54+AL54+AO54+AR54</f>
        <v>3937.9308459999993</v>
      </c>
      <c r="E54" s="447">
        <f t="shared" si="79"/>
        <v>359.50415400000111</v>
      </c>
      <c r="F54" s="448"/>
      <c r="G54" s="449">
        <f>F54/$F$55*$G$57</f>
        <v>0</v>
      </c>
      <c r="H54" s="449">
        <f>H52</f>
        <v>0</v>
      </c>
      <c r="I54" s="450">
        <f t="shared" si="81"/>
        <v>0</v>
      </c>
      <c r="J54" s="445">
        <f>' Фінплан освоєння '!P30</f>
        <v>0</v>
      </c>
      <c r="K54" s="449">
        <f>J54/$J$55*$K$57</f>
        <v>0</v>
      </c>
      <c r="L54" s="449">
        <f>J54/$J$55*$L$57</f>
        <v>0</v>
      </c>
      <c r="M54" s="451">
        <f t="shared" si="83"/>
        <v>0</v>
      </c>
      <c r="N54" s="448">
        <f>' Фінплан освоєння '!Q30</f>
        <v>4297.4350000000004</v>
      </c>
      <c r="O54" s="449">
        <f>O53</f>
        <v>3937.9308459999993</v>
      </c>
      <c r="P54" s="493">
        <f>N54-O54</f>
        <v>359.50415400000111</v>
      </c>
      <c r="Q54" s="450">
        <f t="shared" si="85"/>
        <v>0</v>
      </c>
      <c r="R54" s="445">
        <f>' Фінплан освоєння '!R30</f>
        <v>0</v>
      </c>
      <c r="S54" s="449">
        <f>R54/$R$55*$S$57</f>
        <v>0</v>
      </c>
      <c r="T54" s="449">
        <f>R54/$R$55*$T$57</f>
        <v>0</v>
      </c>
      <c r="U54" s="451">
        <f t="shared" si="86"/>
        <v>0</v>
      </c>
      <c r="V54" s="448">
        <f>' Фінплан освоєння '!S30</f>
        <v>0</v>
      </c>
      <c r="W54" s="449">
        <f>V54/$V$55*$W$57</f>
        <v>0</v>
      </c>
      <c r="X54" s="449">
        <f>V54/$V$55*$X$57</f>
        <v>0</v>
      </c>
      <c r="Y54" s="452">
        <f t="shared" si="87"/>
        <v>0</v>
      </c>
      <c r="Z54" s="445">
        <f>' Фінплан освоєння '!T30</f>
        <v>0</v>
      </c>
      <c r="AA54" s="449">
        <f>Z54/$Z$55*$AA$57</f>
        <v>0</v>
      </c>
      <c r="AB54" s="449">
        <f>Z54/$Z$55*$AB$57</f>
        <v>0</v>
      </c>
      <c r="AC54" s="453">
        <f t="shared" si="88"/>
        <v>0</v>
      </c>
      <c r="AD54" s="445">
        <f t="shared" si="89"/>
        <v>4297.4350000000004</v>
      </c>
      <c r="AE54" s="449">
        <f t="shared" si="89"/>
        <v>3937.9308459999993</v>
      </c>
      <c r="AF54" s="449">
        <f t="shared" si="89"/>
        <v>359.50415400000111</v>
      </c>
      <c r="AG54" s="451">
        <f t="shared" si="89"/>
        <v>0</v>
      </c>
      <c r="AH54" s="448">
        <f>' Фінплан освоєння '!W30</f>
        <v>0</v>
      </c>
      <c r="AI54" s="449">
        <f>$AI$57*G79</f>
        <v>0</v>
      </c>
      <c r="AJ54" s="452">
        <f>$AJ$57*G79</f>
        <v>0</v>
      </c>
      <c r="AK54" s="445">
        <f>' Фінплан освоєння '!Z30</f>
        <v>0</v>
      </c>
      <c r="AL54" s="449">
        <f>$AL$57*G79</f>
        <v>0</v>
      </c>
      <c r="AM54" s="453">
        <f>$AM$57*G79</f>
        <v>0</v>
      </c>
      <c r="AN54" s="448">
        <f>' Фінплан освоєння '!AC30</f>
        <v>0</v>
      </c>
      <c r="AO54" s="449">
        <f>$AO$57*G79</f>
        <v>0</v>
      </c>
      <c r="AP54" s="452">
        <f>$AP$57*G79</f>
        <v>0</v>
      </c>
      <c r="AQ54" s="445">
        <f>' Фінплан освоєння '!AF30</f>
        <v>0</v>
      </c>
      <c r="AR54" s="449">
        <f>$AR$57*G79</f>
        <v>0</v>
      </c>
      <c r="AS54" s="453">
        <f>$AS$57*G79</f>
        <v>0</v>
      </c>
      <c r="AT54" s="320"/>
      <c r="AU54" s="382"/>
      <c r="AV54" s="382"/>
      <c r="AW54" s="382"/>
      <c r="AX54" s="382"/>
      <c r="AY54" s="382"/>
      <c r="AZ54" s="382"/>
      <c r="BA54" s="382"/>
      <c r="BB54" s="382"/>
      <c r="BC54" s="382"/>
      <c r="BD54" s="382"/>
      <c r="BE54" s="382">
        <f t="shared" si="78"/>
        <v>-0.43500000000040018</v>
      </c>
    </row>
    <row r="55" spans="1:57" s="381" customFormat="1" ht="22.5" customHeight="1" thickTop="1" x14ac:dyDescent="0.25">
      <c r="A55" s="420" t="s">
        <v>155</v>
      </c>
      <c r="B55" s="421"/>
      <c r="C55" s="454">
        <f>C47+C54</f>
        <v>70293</v>
      </c>
      <c r="D55" s="455">
        <f>AE55+AI55+AL55+AO55+AR55</f>
        <v>49863.87834044444</v>
      </c>
      <c r="E55" s="456">
        <f>AF55+AJ55+AM55+AP55+AS55</f>
        <v>20429.121659555549</v>
      </c>
      <c r="F55" s="457">
        <f>F47+F51+F54</f>
        <v>20627.878000000001</v>
      </c>
      <c r="G55" s="458">
        <f>G47+G51+G54</f>
        <v>1229.3494691111111</v>
      </c>
      <c r="H55" s="458">
        <f>H47+H51+H52</f>
        <v>5970.6505308888873</v>
      </c>
      <c r="I55" s="459">
        <f t="shared" si="81"/>
        <v>13427.878000000001</v>
      </c>
      <c r="J55" s="454">
        <f>' Фінплан освоєння '!P31</f>
        <v>14236.846000000001</v>
      </c>
      <c r="K55" s="458">
        <f t="shared" ref="K55:W55" si="94">K47+K51+K54</f>
        <v>2523.5512333333336</v>
      </c>
      <c r="L55" s="458">
        <f>L47+L51+L52</f>
        <v>4676.4487666666664</v>
      </c>
      <c r="M55" s="460">
        <f t="shared" si="83"/>
        <v>7036.8460000000014</v>
      </c>
      <c r="N55" s="457">
        <f>' Фінплан освоєння '!Q31</f>
        <v>4297.4350000000004</v>
      </c>
      <c r="O55" s="458">
        <f t="shared" si="94"/>
        <v>3937.9308459999993</v>
      </c>
      <c r="P55" s="458">
        <f t="shared" si="94"/>
        <v>3262.0691540000007</v>
      </c>
      <c r="Q55" s="459">
        <f>N55-O55-P55</f>
        <v>-2902.5649999999996</v>
      </c>
      <c r="R55" s="454">
        <f>' Фінплан освоєння '!R31</f>
        <v>13062.538</v>
      </c>
      <c r="S55" s="458">
        <f t="shared" si="94"/>
        <v>5823.0853806666673</v>
      </c>
      <c r="T55" s="458">
        <f t="shared" si="94"/>
        <v>1376.9146193333327</v>
      </c>
      <c r="U55" s="460">
        <f t="shared" si="86"/>
        <v>5862.5380000000005</v>
      </c>
      <c r="V55" s="457">
        <f>' Фінплан освоєння '!S31</f>
        <v>10228.357</v>
      </c>
      <c r="W55" s="458">
        <f t="shared" si="94"/>
        <v>6531.8857877777773</v>
      </c>
      <c r="X55" s="458">
        <f>X47+X51+X52</f>
        <v>668.1142122222227</v>
      </c>
      <c r="Y55" s="459">
        <f t="shared" si="87"/>
        <v>3028.357</v>
      </c>
      <c r="Z55" s="454">
        <f>' Фінплан освоєння '!T31</f>
        <v>7840.0129999999999</v>
      </c>
      <c r="AA55" s="458">
        <f>AA47+AA51+AA54</f>
        <v>5589.7288688888893</v>
      </c>
      <c r="AB55" s="458">
        <f>AB47+AB51+AB52</f>
        <v>1610.2711311111107</v>
      </c>
      <c r="AC55" s="460">
        <f t="shared" si="88"/>
        <v>640.01299999999992</v>
      </c>
      <c r="AD55" s="454">
        <f t="shared" si="89"/>
        <v>70293.06700000001</v>
      </c>
      <c r="AE55" s="458">
        <f t="shared" si="89"/>
        <v>25635.531585777775</v>
      </c>
      <c r="AF55" s="458">
        <f t="shared" si="89"/>
        <v>17564.468414222218</v>
      </c>
      <c r="AG55" s="460">
        <f t="shared" si="89"/>
        <v>27093.067000000003</v>
      </c>
      <c r="AH55" s="457">
        <f>' Фінплан освоєння '!W31</f>
        <v>0</v>
      </c>
      <c r="AI55" s="458">
        <f>AI47+AI51+AI54</f>
        <v>6178.8498386666661</v>
      </c>
      <c r="AJ55" s="461">
        <f>AJ47+AJ51+AJ54</f>
        <v>1021.1501613333329</v>
      </c>
      <c r="AK55" s="454">
        <f>' Фінплан освоєння '!Z31</f>
        <v>0</v>
      </c>
      <c r="AL55" s="458">
        <f>AL47+AL51+AL54</f>
        <v>6132.2992386666647</v>
      </c>
      <c r="AM55" s="462">
        <f>AM47+AM51+AM54</f>
        <v>1067.7007613333335</v>
      </c>
      <c r="AN55" s="457">
        <f>' Фінплан освоєння '!AC31</f>
        <v>0</v>
      </c>
      <c r="AO55" s="458">
        <f>AO47+AO51+AO54</f>
        <v>6132.2992386666647</v>
      </c>
      <c r="AP55" s="461">
        <f>AP47+AP51+AP54</f>
        <v>775.80232266666621</v>
      </c>
      <c r="AQ55" s="454">
        <f>' Фінплан освоєння '!AF31</f>
        <v>0</v>
      </c>
      <c r="AR55" s="458">
        <f>AR47+AR51+AR54</f>
        <v>5784.8984386666671</v>
      </c>
      <c r="AS55" s="462">
        <f>AS47+AS51+AS54</f>
        <v>0</v>
      </c>
      <c r="AT55" s="320"/>
      <c r="AU55" s="382"/>
      <c r="AV55" s="382"/>
      <c r="AW55" s="382"/>
      <c r="AX55" s="382"/>
      <c r="AY55" s="382"/>
      <c r="AZ55" s="382"/>
      <c r="BA55" s="382"/>
      <c r="BB55" s="382"/>
      <c r="BC55" s="382"/>
      <c r="BD55" s="382"/>
      <c r="BE55" s="382">
        <f t="shared" si="78"/>
        <v>1.4551915228366852E-11</v>
      </c>
    </row>
    <row r="56" spans="1:57" ht="16.5" thickBot="1" x14ac:dyDescent="0.3">
      <c r="A56" s="406"/>
      <c r="B56" s="401"/>
      <c r="C56" s="436"/>
      <c r="D56" s="463"/>
      <c r="E56" s="464"/>
      <c r="F56" s="430"/>
      <c r="G56" s="431"/>
      <c r="H56" s="431"/>
      <c r="I56" s="434"/>
      <c r="J56" s="427"/>
      <c r="K56" s="431"/>
      <c r="L56" s="431"/>
      <c r="M56" s="433"/>
      <c r="N56" s="430"/>
      <c r="O56" s="431"/>
      <c r="P56" s="431"/>
      <c r="Q56" s="434"/>
      <c r="R56" s="427"/>
      <c r="S56" s="431"/>
      <c r="T56" s="431"/>
      <c r="U56" s="435"/>
      <c r="V56" s="430"/>
      <c r="W56" s="431"/>
      <c r="X56" s="431"/>
      <c r="Y56" s="434"/>
      <c r="Z56" s="427"/>
      <c r="AA56" s="431"/>
      <c r="AB56" s="431"/>
      <c r="AC56" s="435"/>
      <c r="AD56" s="427"/>
      <c r="AE56" s="431"/>
      <c r="AF56" s="431"/>
      <c r="AG56" s="433"/>
      <c r="AH56" s="430"/>
      <c r="AI56" s="431"/>
      <c r="AJ56" s="434"/>
      <c r="AK56" s="427"/>
      <c r="AL56" s="431"/>
      <c r="AM56" s="435"/>
      <c r="AN56" s="430"/>
      <c r="AO56" s="431"/>
      <c r="AP56" s="434"/>
      <c r="AQ56" s="427"/>
      <c r="AR56" s="431"/>
      <c r="AS56" s="435"/>
      <c r="AT56" s="259"/>
      <c r="AU56" s="238"/>
      <c r="AV56" s="238"/>
      <c r="AW56" s="238"/>
      <c r="AX56" s="238"/>
      <c r="AY56" s="238"/>
      <c r="AZ56" s="238"/>
      <c r="BA56" s="238"/>
      <c r="BB56" s="238"/>
      <c r="BC56" s="238"/>
      <c r="BD56" s="238"/>
    </row>
    <row r="57" spans="1:57" s="351" customFormat="1" ht="25.5" customHeight="1" thickTop="1" x14ac:dyDescent="0.25">
      <c r="A57" s="422"/>
      <c r="B57" s="402" t="s">
        <v>451</v>
      </c>
      <c r="C57" s="465"/>
      <c r="D57" s="466">
        <f>' розрах Аморт ОЗ створ15'!C26-' розрах Аморт ОЗ створ15'!C18</f>
        <v>49863.878340444448</v>
      </c>
      <c r="E57" s="467">
        <f>E55</f>
        <v>20429.121659555549</v>
      </c>
      <c r="F57" s="468"/>
      <c r="G57" s="469">
        <f>' розрах Аморт ОЗ створ15'!F26-' розрах Аморт ОЗ створ15'!F18</f>
        <v>1229.3494691111111</v>
      </c>
      <c r="H57" s="469">
        <f>G58-G57</f>
        <v>5970.6505308888891</v>
      </c>
      <c r="I57" s="470"/>
      <c r="J57" s="471"/>
      <c r="K57" s="469">
        <f>' розрах Аморт ОЗ створ15'!G26-' розрах Аморт ОЗ створ15'!G18</f>
        <v>2523.5512333333336</v>
      </c>
      <c r="L57" s="469">
        <f>K58-K57</f>
        <v>4676.4487666666664</v>
      </c>
      <c r="M57" s="472"/>
      <c r="N57" s="468"/>
      <c r="O57" s="469">
        <f>' розрах Аморт ОЗ створ15'!H26-' розрах Аморт ОЗ створ15'!H18</f>
        <v>3937.9308459999993</v>
      </c>
      <c r="P57" s="469">
        <f>O58-O57</f>
        <v>3262.0691540000007</v>
      </c>
      <c r="Q57" s="470"/>
      <c r="R57" s="471"/>
      <c r="S57" s="469">
        <f>' розрах Аморт ОЗ створ15'!I26-' розрах Аморт ОЗ створ15'!I18</f>
        <v>5823.0853806666673</v>
      </c>
      <c r="T57" s="469">
        <f>S58-S57</f>
        <v>1376.9146193333327</v>
      </c>
      <c r="U57" s="472"/>
      <c r="V57" s="468"/>
      <c r="W57" s="469">
        <f>' розрах Аморт ОЗ створ15'!J26-' розрах Аморт ОЗ створ15'!J18</f>
        <v>6531.8857877777773</v>
      </c>
      <c r="X57" s="469">
        <f>W58-W57</f>
        <v>668.1142122222227</v>
      </c>
      <c r="Y57" s="470"/>
      <c r="Z57" s="471"/>
      <c r="AA57" s="469">
        <f>' розрах Аморт ОЗ створ15'!K26-' розрах Аморт ОЗ створ15'!K18</f>
        <v>5589.7288688888893</v>
      </c>
      <c r="AB57" s="469">
        <f>AA58-AA57</f>
        <v>1610.2711311111107</v>
      </c>
      <c r="AC57" s="473"/>
      <c r="AD57" s="471"/>
      <c r="AE57" s="458">
        <f t="shared" ref="AE57" si="95">G57+K57+O57+S57+W57+AA57</f>
        <v>25635.531585777775</v>
      </c>
      <c r="AF57" s="458">
        <f t="shared" ref="AF57" si="96">H57+L57+P57+T57+X57+AB57</f>
        <v>17564.468414222225</v>
      </c>
      <c r="AG57" s="472"/>
      <c r="AH57" s="468"/>
      <c r="AI57" s="469">
        <f>' розрах Аморт ОЗ створ15'!L26-' розрах Аморт ОЗ створ15'!L18</f>
        <v>6178.849838666667</v>
      </c>
      <c r="AJ57" s="474">
        <f>AI58-AI57</f>
        <v>1021.150161333333</v>
      </c>
      <c r="AK57" s="471"/>
      <c r="AL57" s="469">
        <f>' розрах Аморт ОЗ створ15'!M26-' розрах Аморт ОЗ створ15'!M18</f>
        <v>6132.2992386666665</v>
      </c>
      <c r="AM57" s="472">
        <f>AL58-AL57</f>
        <v>1067.7007613333335</v>
      </c>
      <c r="AN57" s="468"/>
      <c r="AO57" s="469">
        <f>' розрах Аморт ОЗ створ15'!N26-' розрах Аморт ОЗ створ15'!N18</f>
        <v>6132.2992386666665</v>
      </c>
      <c r="AP57" s="474">
        <f>AO58-AO57</f>
        <v>775.80232266666644</v>
      </c>
      <c r="AQ57" s="471"/>
      <c r="AR57" s="469">
        <f>' розрах Аморт ОЗ створ15'!O26-' розрах Аморт ОЗ створ15'!P18</f>
        <v>5784.8984386666671</v>
      </c>
      <c r="AS57" s="472">
        <f>AR58-AR57</f>
        <v>0</v>
      </c>
      <c r="AT57" s="423"/>
      <c r="AU57" s="424"/>
      <c r="AV57" s="424"/>
      <c r="AW57" s="424"/>
      <c r="AX57" s="424"/>
      <c r="AY57" s="424"/>
      <c r="AZ57" s="424"/>
      <c r="BA57" s="424"/>
      <c r="BB57" s="424"/>
      <c r="BC57" s="424"/>
      <c r="BD57" s="424"/>
    </row>
    <row r="58" spans="1:57" ht="30.75" thickBot="1" x14ac:dyDescent="0.3">
      <c r="A58" s="407"/>
      <c r="B58" s="411" t="s">
        <v>463</v>
      </c>
      <c r="C58" s="475">
        <v>7200</v>
      </c>
      <c r="D58" s="680">
        <f>D57+E57</f>
        <v>70293</v>
      </c>
      <c r="E58" s="691"/>
      <c r="F58" s="476"/>
      <c r="G58" s="680">
        <f>$C$58</f>
        <v>7200</v>
      </c>
      <c r="H58" s="680"/>
      <c r="I58" s="477"/>
      <c r="J58" s="478"/>
      <c r="K58" s="680">
        <f>$C$58</f>
        <v>7200</v>
      </c>
      <c r="L58" s="680"/>
      <c r="M58" s="479"/>
      <c r="N58" s="477"/>
      <c r="O58" s="680">
        <f>$C$58</f>
        <v>7200</v>
      </c>
      <c r="P58" s="680"/>
      <c r="Q58" s="477"/>
      <c r="R58" s="480"/>
      <c r="S58" s="680">
        <f>$C$58</f>
        <v>7200</v>
      </c>
      <c r="T58" s="680"/>
      <c r="U58" s="481"/>
      <c r="V58" s="477"/>
      <c r="W58" s="680">
        <f>$C$58</f>
        <v>7200</v>
      </c>
      <c r="X58" s="680"/>
      <c r="Y58" s="477"/>
      <c r="Z58" s="480"/>
      <c r="AA58" s="680">
        <f>$C$58</f>
        <v>7200</v>
      </c>
      <c r="AB58" s="680"/>
      <c r="AC58" s="481"/>
      <c r="AD58" s="480"/>
      <c r="AE58" s="680">
        <f>AE55+AF55</f>
        <v>43199.999999999993</v>
      </c>
      <c r="AF58" s="680"/>
      <c r="AG58" s="481"/>
      <c r="AH58" s="477"/>
      <c r="AI58" s="680">
        <f>$C$58</f>
        <v>7200</v>
      </c>
      <c r="AJ58" s="680"/>
      <c r="AK58" s="478"/>
      <c r="AL58" s="680">
        <f>$C$58</f>
        <v>7200</v>
      </c>
      <c r="AM58" s="681"/>
      <c r="AN58" s="477"/>
      <c r="AO58" s="680">
        <f>C55-G58-K58-O58-S58-W58-AA58-AI58-AL58-AR58</f>
        <v>6908.1015613333329</v>
      </c>
      <c r="AP58" s="680"/>
      <c r="AQ58" s="480"/>
      <c r="AR58" s="680">
        <f>AR57</f>
        <v>5784.8984386666671</v>
      </c>
      <c r="AS58" s="681"/>
      <c r="BC58" s="238"/>
    </row>
    <row r="59" spans="1:57" ht="15" customHeight="1" x14ac:dyDescent="0.25">
      <c r="B59" s="222"/>
      <c r="C59" s="417">
        <f>C55/10</f>
        <v>7029.3</v>
      </c>
      <c r="D59" s="238"/>
      <c r="E59" s="238"/>
      <c r="AR59" s="238"/>
    </row>
    <row r="60" spans="1:57" ht="15" hidden="1" customHeight="1" outlineLevel="1" x14ac:dyDescent="0.25">
      <c r="B60" s="222"/>
      <c r="C60" s="222"/>
    </row>
    <row r="61" spans="1:57" ht="15" hidden="1" customHeight="1" outlineLevel="1" x14ac:dyDescent="0.25">
      <c r="B61" s="355"/>
      <c r="C61" s="355"/>
      <c r="T61" s="238"/>
      <c r="U61" s="238"/>
    </row>
    <row r="62" spans="1:57" hidden="1" outlineLevel="1" x14ac:dyDescent="0.25">
      <c r="T62" s="238"/>
      <c r="U62" s="238"/>
    </row>
    <row r="63" spans="1:57" ht="135" hidden="1" outlineLevel="1" x14ac:dyDescent="0.25">
      <c r="A63" s="385"/>
      <c r="B63" s="385"/>
      <c r="C63" s="385" t="s">
        <v>447</v>
      </c>
      <c r="D63" s="386" t="s">
        <v>446</v>
      </c>
      <c r="E63" s="386" t="s">
        <v>448</v>
      </c>
      <c r="F63" s="386" t="s">
        <v>449</v>
      </c>
      <c r="G63" s="387" t="s">
        <v>470</v>
      </c>
    </row>
    <row r="64" spans="1:57" hidden="1" outlineLevel="1" x14ac:dyDescent="0.25">
      <c r="A64" s="228" t="s">
        <v>127</v>
      </c>
      <c r="B64" s="228" t="s">
        <v>128</v>
      </c>
      <c r="I64" s="347"/>
      <c r="J64" s="347"/>
    </row>
    <row r="65" spans="1:22" hidden="1" outlineLevel="1" x14ac:dyDescent="0.25">
      <c r="A65" s="228" t="s">
        <v>129</v>
      </c>
      <c r="B65" s="228" t="s">
        <v>130</v>
      </c>
      <c r="C65" s="238">
        <v>47421</v>
      </c>
      <c r="D65" s="238">
        <v>16682.520726356906</v>
      </c>
      <c r="E65" s="238">
        <v>11775.531491163983</v>
      </c>
      <c r="F65" s="238">
        <v>18963.401782479108</v>
      </c>
      <c r="G65" s="383">
        <f t="shared" ref="G65:G71" si="97">F65/$F$80</f>
        <v>0.69993558804099609</v>
      </c>
      <c r="I65" s="352"/>
      <c r="J65" s="353"/>
      <c r="M65" s="238"/>
      <c r="O65" s="238"/>
      <c r="P65" s="238"/>
      <c r="Q65" s="238"/>
      <c r="R65" s="238"/>
      <c r="V65" s="238"/>
    </row>
    <row r="66" spans="1:22" hidden="1" outlineLevel="1" x14ac:dyDescent="0.25">
      <c r="A66" s="228" t="s">
        <v>131</v>
      </c>
      <c r="B66" s="228" t="s">
        <v>132</v>
      </c>
      <c r="C66" s="238">
        <v>5820</v>
      </c>
      <c r="D66" s="238">
        <v>997.69704069797444</v>
      </c>
      <c r="E66" s="238">
        <v>1948.4967017612541</v>
      </c>
      <c r="F66" s="238">
        <v>2873.7022575407714</v>
      </c>
      <c r="G66" s="383">
        <f t="shared" si="97"/>
        <v>0.10606780906498224</v>
      </c>
      <c r="I66" s="352"/>
      <c r="J66" s="353"/>
      <c r="M66" s="238"/>
      <c r="O66" s="238"/>
      <c r="P66" s="238"/>
      <c r="Q66" s="238"/>
      <c r="R66" s="238"/>
      <c r="S66" s="238"/>
      <c r="T66" s="238"/>
      <c r="U66" s="238"/>
      <c r="V66" s="238"/>
    </row>
    <row r="67" spans="1:22" hidden="1" outlineLevel="1" x14ac:dyDescent="0.25">
      <c r="A67" s="228" t="s">
        <v>133</v>
      </c>
      <c r="B67" s="228" t="s">
        <v>134</v>
      </c>
      <c r="C67" s="238">
        <v>7813</v>
      </c>
      <c r="D67" s="238">
        <v>1172.4562560353293</v>
      </c>
      <c r="E67" s="238">
        <v>2749.760409749887</v>
      </c>
      <c r="F67" s="238">
        <v>3890.3583342147836</v>
      </c>
      <c r="G67" s="383">
        <f t="shared" si="97"/>
        <v>0.14359239336819207</v>
      </c>
      <c r="I67" s="352"/>
      <c r="J67" s="353"/>
      <c r="M67" s="238"/>
      <c r="O67" s="238"/>
      <c r="P67" s="238"/>
      <c r="Q67" s="238"/>
      <c r="R67" s="238"/>
      <c r="S67" s="238"/>
      <c r="T67" s="238"/>
      <c r="U67" s="238"/>
      <c r="V67" s="238"/>
    </row>
    <row r="68" spans="1:22" hidden="1" outlineLevel="1" x14ac:dyDescent="0.25">
      <c r="A68" s="228" t="s">
        <v>135</v>
      </c>
      <c r="B68" s="228" t="s">
        <v>136</v>
      </c>
      <c r="C68" s="238">
        <v>1737</v>
      </c>
      <c r="D68" s="238">
        <v>774.33057791368901</v>
      </c>
      <c r="E68" s="238">
        <v>183.09659282449368</v>
      </c>
      <c r="F68" s="238">
        <v>779.57682926181724</v>
      </c>
      <c r="G68" s="383">
        <f t="shared" si="97"/>
        <v>2.8774033935021721E-2</v>
      </c>
      <c r="I68" s="352"/>
      <c r="J68" s="353"/>
      <c r="M68" s="238"/>
      <c r="O68" s="238"/>
      <c r="P68" s="238"/>
      <c r="Q68" s="238"/>
      <c r="R68" s="238"/>
      <c r="S68" s="238"/>
      <c r="T68" s="238"/>
      <c r="U68" s="238"/>
      <c r="V68" s="238"/>
    </row>
    <row r="69" spans="1:22" hidden="1" outlineLevel="1" x14ac:dyDescent="0.25">
      <c r="A69" s="228" t="s">
        <v>137</v>
      </c>
      <c r="B69" s="228" t="s">
        <v>138</v>
      </c>
      <c r="C69" s="238">
        <v>1928</v>
      </c>
      <c r="D69" s="238">
        <v>1374.2796200273394</v>
      </c>
      <c r="E69" s="238">
        <v>395.89805697396156</v>
      </c>
      <c r="F69" s="238">
        <v>157.35232299869898</v>
      </c>
      <c r="G69" s="383">
        <f t="shared" si="97"/>
        <v>5.8078446046251966E-3</v>
      </c>
      <c r="I69" s="352"/>
      <c r="J69" s="353"/>
      <c r="M69" s="238"/>
      <c r="O69" s="238"/>
      <c r="P69" s="238"/>
      <c r="Q69" s="238"/>
      <c r="R69" s="238"/>
      <c r="S69" s="238"/>
      <c r="T69" s="238"/>
      <c r="U69" s="238"/>
      <c r="V69" s="238"/>
    </row>
    <row r="70" spans="1:22" hidden="1" outlineLevel="1" x14ac:dyDescent="0.25">
      <c r="A70" s="228" t="s">
        <v>139</v>
      </c>
      <c r="B70" s="228" t="s">
        <v>140</v>
      </c>
      <c r="C70" s="238">
        <v>1024</v>
      </c>
      <c r="D70" s="238">
        <v>653.83376198866802</v>
      </c>
      <c r="E70" s="238">
        <v>66.877413814053796</v>
      </c>
      <c r="F70" s="238">
        <v>303.13482419727819</v>
      </c>
      <c r="G70" s="383">
        <f t="shared" si="97"/>
        <v>1.1188649265779994E-2</v>
      </c>
      <c r="I70" s="352"/>
      <c r="J70" s="353"/>
      <c r="M70" s="238"/>
      <c r="O70" s="238"/>
      <c r="P70" s="238"/>
      <c r="Q70" s="238"/>
      <c r="R70" s="238"/>
      <c r="S70" s="238"/>
      <c r="T70" s="238"/>
      <c r="U70" s="238"/>
      <c r="V70" s="238"/>
    </row>
    <row r="71" spans="1:22" hidden="1" outlineLevel="1" x14ac:dyDescent="0.25">
      <c r="A71" s="228" t="s">
        <v>141</v>
      </c>
      <c r="B71" s="228" t="s">
        <v>142</v>
      </c>
      <c r="C71" s="238">
        <v>253</v>
      </c>
      <c r="D71" s="238">
        <v>42.482756757872892</v>
      </c>
      <c r="E71" s="238">
        <v>85.303593934584555</v>
      </c>
      <c r="F71" s="238">
        <v>125.54064930754252</v>
      </c>
      <c r="G71" s="383">
        <f t="shared" si="97"/>
        <v>4.6336817204025854E-3</v>
      </c>
      <c r="I71" s="352"/>
      <c r="J71" s="353"/>
      <c r="M71" s="238"/>
      <c r="O71" s="238"/>
      <c r="P71" s="238"/>
      <c r="Q71" s="238"/>
      <c r="R71" s="238"/>
      <c r="S71" s="238"/>
      <c r="T71" s="238"/>
      <c r="U71" s="238"/>
      <c r="V71" s="238"/>
    </row>
    <row r="72" spans="1:22" hidden="1" outlineLevel="1" x14ac:dyDescent="0.25">
      <c r="A72" s="228" t="s">
        <v>143</v>
      </c>
      <c r="C72" s="238">
        <v>65996</v>
      </c>
      <c r="D72" s="238">
        <v>21697.600739777779</v>
      </c>
      <c r="E72" s="238">
        <v>17204.964260222216</v>
      </c>
      <c r="F72" s="238">
        <v>27093.067000000003</v>
      </c>
      <c r="G72" s="383"/>
      <c r="I72" s="352"/>
      <c r="M72" s="238"/>
      <c r="O72" s="238"/>
      <c r="P72" s="238"/>
      <c r="Q72" s="238"/>
      <c r="R72" s="238"/>
      <c r="S72" s="238"/>
      <c r="T72" s="238"/>
      <c r="U72" s="238"/>
      <c r="V72" s="238"/>
    </row>
    <row r="73" spans="1:22" ht="27.75" hidden="1" customHeight="1" outlineLevel="1" x14ac:dyDescent="0.25">
      <c r="A73" s="228" t="s">
        <v>144</v>
      </c>
      <c r="B73" s="347" t="s">
        <v>145</v>
      </c>
      <c r="C73" s="238"/>
      <c r="D73" s="238"/>
      <c r="E73" s="238"/>
      <c r="F73" s="238"/>
      <c r="G73" s="383">
        <f>F73/$F$80</f>
        <v>0</v>
      </c>
      <c r="I73" s="352"/>
      <c r="M73" s="238"/>
      <c r="O73" s="238"/>
      <c r="P73" s="238"/>
      <c r="Q73" s="238"/>
      <c r="R73" s="238"/>
      <c r="S73" s="238"/>
      <c r="T73" s="238"/>
      <c r="U73" s="238"/>
      <c r="V73" s="238"/>
    </row>
    <row r="74" spans="1:22" hidden="1" outlineLevel="1" x14ac:dyDescent="0.25">
      <c r="A74" s="228" t="s">
        <v>146</v>
      </c>
      <c r="B74" s="228" t="s">
        <v>147</v>
      </c>
      <c r="C74" s="238"/>
      <c r="D74" s="238"/>
      <c r="E74" s="238"/>
      <c r="F74" s="238"/>
      <c r="G74" s="383">
        <f>F74/$F$80</f>
        <v>0</v>
      </c>
      <c r="I74" s="352"/>
      <c r="M74" s="238"/>
      <c r="O74" s="238"/>
      <c r="P74" s="238"/>
      <c r="Q74" s="238"/>
      <c r="R74" s="238"/>
      <c r="S74" s="238"/>
      <c r="T74" s="238"/>
      <c r="U74" s="238"/>
      <c r="V74" s="238"/>
    </row>
    <row r="75" spans="1:22" hidden="1" outlineLevel="1" x14ac:dyDescent="0.25">
      <c r="A75" s="228" t="s">
        <v>148</v>
      </c>
      <c r="B75" s="228" t="s">
        <v>149</v>
      </c>
      <c r="C75" s="238"/>
      <c r="D75" s="238"/>
      <c r="E75" s="238"/>
      <c r="F75" s="238"/>
      <c r="G75" s="383">
        <f>F75/$F$80</f>
        <v>0</v>
      </c>
      <c r="I75" s="352"/>
      <c r="M75" s="238"/>
      <c r="O75" s="238"/>
      <c r="P75" s="238"/>
      <c r="Q75" s="238"/>
      <c r="R75" s="238"/>
      <c r="S75" s="238"/>
      <c r="T75" s="238"/>
      <c r="U75" s="238"/>
      <c r="V75" s="238"/>
    </row>
    <row r="76" spans="1:22" hidden="1" outlineLevel="1" x14ac:dyDescent="0.25">
      <c r="A76" s="228" t="s">
        <v>150</v>
      </c>
      <c r="C76" s="238"/>
      <c r="D76" s="238"/>
      <c r="E76" s="238"/>
      <c r="F76" s="238"/>
      <c r="G76" s="383"/>
      <c r="I76" s="352"/>
      <c r="M76" s="238"/>
      <c r="O76" s="238"/>
      <c r="P76" s="238"/>
      <c r="Q76" s="238"/>
      <c r="R76" s="238"/>
      <c r="S76" s="238"/>
      <c r="T76" s="238"/>
      <c r="U76" s="238"/>
      <c r="V76" s="238"/>
    </row>
    <row r="77" spans="1:22" hidden="1" outlineLevel="1" x14ac:dyDescent="0.25">
      <c r="A77" s="228" t="s">
        <v>151</v>
      </c>
      <c r="B77" s="228" t="s">
        <v>152</v>
      </c>
      <c r="C77" s="238"/>
      <c r="D77" s="238">
        <v>0</v>
      </c>
      <c r="E77" s="238">
        <v>0</v>
      </c>
      <c r="F77" s="238">
        <v>0</v>
      </c>
      <c r="G77" s="383">
        <f>F77/$F$80</f>
        <v>0</v>
      </c>
      <c r="I77" s="352"/>
      <c r="M77" s="238"/>
      <c r="O77" s="238"/>
      <c r="P77" s="238"/>
      <c r="Q77" s="238"/>
      <c r="R77" s="238"/>
      <c r="S77" s="238"/>
      <c r="T77" s="238"/>
      <c r="U77" s="238"/>
      <c r="V77" s="238"/>
    </row>
    <row r="78" spans="1:22" hidden="1" outlineLevel="1" x14ac:dyDescent="0.25">
      <c r="B78" s="228" t="s">
        <v>153</v>
      </c>
      <c r="C78" s="238">
        <v>4297</v>
      </c>
      <c r="D78" s="238">
        <v>3937.9308459999993</v>
      </c>
      <c r="E78" s="238">
        <v>359.50415400000111</v>
      </c>
      <c r="F78" s="238">
        <v>0</v>
      </c>
      <c r="G78" s="383">
        <f>F78/$F$80</f>
        <v>0</v>
      </c>
      <c r="I78" s="352"/>
      <c r="M78" s="238"/>
      <c r="O78" s="238"/>
      <c r="P78" s="238"/>
      <c r="Q78" s="238"/>
      <c r="R78" s="238"/>
      <c r="S78" s="238"/>
      <c r="T78" s="238"/>
      <c r="U78" s="238"/>
      <c r="V78" s="238"/>
    </row>
    <row r="79" spans="1:22" hidden="1" outlineLevel="1" x14ac:dyDescent="0.25">
      <c r="A79" s="228" t="s">
        <v>154</v>
      </c>
      <c r="C79" s="238">
        <v>4297</v>
      </c>
      <c r="D79" s="238">
        <v>3937.9308459999993</v>
      </c>
      <c r="E79" s="238">
        <v>359.50415400000111</v>
      </c>
      <c r="F79" s="238">
        <v>0</v>
      </c>
      <c r="G79" s="384"/>
      <c r="I79" s="353"/>
      <c r="M79" s="238"/>
      <c r="O79" s="238"/>
      <c r="P79" s="238"/>
      <c r="Q79" s="238"/>
      <c r="R79" s="238"/>
      <c r="S79" s="238"/>
      <c r="T79" s="238"/>
      <c r="U79" s="238"/>
      <c r="V79" s="238"/>
    </row>
    <row r="80" spans="1:22" hidden="1" outlineLevel="1" x14ac:dyDescent="0.25">
      <c r="A80" s="388" t="s">
        <v>155</v>
      </c>
      <c r="B80" s="388"/>
      <c r="C80" s="389">
        <v>70293</v>
      </c>
      <c r="D80" s="389">
        <v>25635.531585777775</v>
      </c>
      <c r="E80" s="389">
        <v>17564.468414222218</v>
      </c>
      <c r="F80" s="389">
        <v>27093.067000000003</v>
      </c>
      <c r="G80" s="390">
        <f>SUM(G65:G79)</f>
        <v>1</v>
      </c>
      <c r="I80" s="352"/>
      <c r="M80" s="238"/>
      <c r="O80" s="238"/>
      <c r="P80" s="238"/>
      <c r="Q80" s="238"/>
      <c r="R80" s="238"/>
      <c r="S80" s="238"/>
      <c r="T80" s="238"/>
      <c r="U80" s="238"/>
      <c r="V80" s="238"/>
    </row>
    <row r="81" spans="1:57" collapsed="1" x14ac:dyDescent="0.25"/>
    <row r="82" spans="1:57" ht="43.5" customHeight="1" thickBot="1" x14ac:dyDescent="0.3">
      <c r="B82" s="689" t="s">
        <v>511</v>
      </c>
      <c r="C82" s="689"/>
      <c r="D82" s="689"/>
      <c r="E82" s="689"/>
      <c r="F82" s="371"/>
      <c r="G82" s="371"/>
      <c r="H82" s="371"/>
      <c r="I82" s="371"/>
      <c r="J82" s="371"/>
      <c r="K82" s="371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371"/>
      <c r="Z82" s="371"/>
      <c r="AA82" s="371"/>
      <c r="AB82" s="371"/>
      <c r="AC82" s="371"/>
      <c r="AD82" s="371"/>
      <c r="AE82" s="371"/>
      <c r="AF82" s="371"/>
      <c r="AG82" s="371"/>
      <c r="AH82" s="371"/>
      <c r="AI82" s="371"/>
      <c r="AJ82" s="371"/>
      <c r="AK82" s="371"/>
      <c r="AL82" s="371"/>
      <c r="AM82" s="371"/>
      <c r="AN82" s="371"/>
      <c r="AO82" s="371"/>
      <c r="AP82" s="371"/>
      <c r="AQ82" s="371"/>
      <c r="AR82" s="371"/>
      <c r="AS82" s="371"/>
    </row>
    <row r="83" spans="1:57" ht="15" customHeight="1" x14ac:dyDescent="0.25">
      <c r="A83" s="692" t="s">
        <v>108</v>
      </c>
      <c r="B83" s="694" t="s">
        <v>354</v>
      </c>
      <c r="C83" s="696" t="s">
        <v>116</v>
      </c>
      <c r="D83" s="698" t="s">
        <v>441</v>
      </c>
      <c r="E83" s="700" t="s">
        <v>119</v>
      </c>
      <c r="F83" s="703" t="s">
        <v>400</v>
      </c>
      <c r="G83" s="704"/>
      <c r="H83" s="704"/>
      <c r="I83" s="704"/>
      <c r="J83" s="704"/>
      <c r="K83" s="704"/>
      <c r="L83" s="704"/>
      <c r="M83" s="704"/>
      <c r="N83" s="704"/>
      <c r="O83" s="704"/>
      <c r="P83" s="704"/>
      <c r="Q83" s="704"/>
      <c r="R83" s="704"/>
      <c r="S83" s="704"/>
      <c r="T83" s="704"/>
      <c r="U83" s="704"/>
      <c r="V83" s="704"/>
      <c r="W83" s="704"/>
      <c r="X83" s="704"/>
      <c r="Y83" s="704"/>
      <c r="Z83" s="704"/>
      <c r="AA83" s="704"/>
      <c r="AB83" s="704"/>
      <c r="AC83" s="705"/>
      <c r="AD83" s="706" t="s">
        <v>443</v>
      </c>
      <c r="AE83" s="707"/>
      <c r="AF83" s="707"/>
      <c r="AG83" s="708"/>
      <c r="AH83" s="703" t="s">
        <v>471</v>
      </c>
      <c r="AI83" s="704"/>
      <c r="AJ83" s="704"/>
      <c r="AK83" s="704"/>
      <c r="AL83" s="704"/>
      <c r="AM83" s="704"/>
      <c r="AN83" s="704"/>
      <c r="AO83" s="704"/>
      <c r="AP83" s="704"/>
      <c r="AQ83" s="704"/>
      <c r="AR83" s="704"/>
      <c r="AS83" s="712"/>
      <c r="AT83" s="251"/>
    </row>
    <row r="84" spans="1:57" ht="15" customHeight="1" x14ac:dyDescent="0.25">
      <c r="A84" s="693"/>
      <c r="B84" s="695"/>
      <c r="C84" s="697"/>
      <c r="D84" s="699"/>
      <c r="E84" s="701"/>
      <c r="F84" s="683" t="s">
        <v>371</v>
      </c>
      <c r="G84" s="682"/>
      <c r="H84" s="682"/>
      <c r="I84" s="682"/>
      <c r="J84" s="683" t="s">
        <v>372</v>
      </c>
      <c r="K84" s="682"/>
      <c r="L84" s="682"/>
      <c r="M84" s="684"/>
      <c r="N84" s="682" t="s">
        <v>373</v>
      </c>
      <c r="O84" s="682"/>
      <c r="P84" s="682"/>
      <c r="Q84" s="682"/>
      <c r="R84" s="683" t="s">
        <v>374</v>
      </c>
      <c r="S84" s="682"/>
      <c r="T84" s="682"/>
      <c r="U84" s="684"/>
      <c r="V84" s="682" t="s">
        <v>375</v>
      </c>
      <c r="W84" s="682"/>
      <c r="X84" s="682"/>
      <c r="Y84" s="682"/>
      <c r="Z84" s="683" t="s">
        <v>376</v>
      </c>
      <c r="AA84" s="682"/>
      <c r="AB84" s="682"/>
      <c r="AC84" s="684"/>
      <c r="AD84" s="709"/>
      <c r="AE84" s="710"/>
      <c r="AF84" s="710"/>
      <c r="AG84" s="711"/>
      <c r="AH84" s="682" t="s">
        <v>377</v>
      </c>
      <c r="AI84" s="682"/>
      <c r="AJ84" s="682"/>
      <c r="AK84" s="683" t="s">
        <v>378</v>
      </c>
      <c r="AL84" s="682"/>
      <c r="AM84" s="684"/>
      <c r="AN84" s="682" t="s">
        <v>379</v>
      </c>
      <c r="AO84" s="682"/>
      <c r="AP84" s="682"/>
      <c r="AQ84" s="683" t="s">
        <v>380</v>
      </c>
      <c r="AR84" s="682"/>
      <c r="AS84" s="684"/>
      <c r="AT84" s="251"/>
    </row>
    <row r="85" spans="1:57" ht="72" customHeight="1" x14ac:dyDescent="0.25">
      <c r="A85" s="693"/>
      <c r="B85" s="695"/>
      <c r="C85" s="697"/>
      <c r="D85" s="699"/>
      <c r="E85" s="702"/>
      <c r="F85" s="373" t="s">
        <v>440</v>
      </c>
      <c r="G85" s="240" t="s">
        <v>515</v>
      </c>
      <c r="H85" s="240" t="s">
        <v>518</v>
      </c>
      <c r="I85" s="379" t="s">
        <v>464</v>
      </c>
      <c r="J85" s="375" t="s">
        <v>440</v>
      </c>
      <c r="K85" s="240" t="s">
        <v>515</v>
      </c>
      <c r="L85" s="240" t="s">
        <v>518</v>
      </c>
      <c r="M85" s="376" t="s">
        <v>465</v>
      </c>
      <c r="N85" s="373" t="s">
        <v>440</v>
      </c>
      <c r="O85" s="240" t="s">
        <v>515</v>
      </c>
      <c r="P85" s="240" t="s">
        <v>518</v>
      </c>
      <c r="Q85" s="379" t="s">
        <v>466</v>
      </c>
      <c r="R85" s="375" t="s">
        <v>440</v>
      </c>
      <c r="S85" s="240" t="s">
        <v>515</v>
      </c>
      <c r="T85" s="240" t="s">
        <v>518</v>
      </c>
      <c r="U85" s="376" t="s">
        <v>467</v>
      </c>
      <c r="V85" s="373" t="s">
        <v>440</v>
      </c>
      <c r="W85" s="240" t="s">
        <v>515</v>
      </c>
      <c r="X85" s="240" t="s">
        <v>518</v>
      </c>
      <c r="Y85" s="379" t="s">
        <v>468</v>
      </c>
      <c r="Z85" s="375" t="s">
        <v>440</v>
      </c>
      <c r="AA85" s="240" t="s">
        <v>515</v>
      </c>
      <c r="AB85" s="240" t="s">
        <v>518</v>
      </c>
      <c r="AC85" s="376" t="s">
        <v>469</v>
      </c>
      <c r="AD85" s="375" t="s">
        <v>440</v>
      </c>
      <c r="AE85" s="240" t="s">
        <v>515</v>
      </c>
      <c r="AF85" s="240" t="s">
        <v>518</v>
      </c>
      <c r="AG85" s="376" t="s">
        <v>462</v>
      </c>
      <c r="AH85" s="373" t="s">
        <v>440</v>
      </c>
      <c r="AI85" s="240" t="s">
        <v>515</v>
      </c>
      <c r="AJ85" s="240" t="s">
        <v>518</v>
      </c>
      <c r="AK85" s="375" t="s">
        <v>440</v>
      </c>
      <c r="AL85" s="240" t="s">
        <v>515</v>
      </c>
      <c r="AM85" s="416" t="s">
        <v>518</v>
      </c>
      <c r="AN85" s="373" t="s">
        <v>440</v>
      </c>
      <c r="AO85" s="240" t="s">
        <v>515</v>
      </c>
      <c r="AP85" s="240" t="s">
        <v>518</v>
      </c>
      <c r="AQ85" s="375" t="s">
        <v>440</v>
      </c>
      <c r="AR85" s="240" t="s">
        <v>515</v>
      </c>
      <c r="AS85" s="416" t="s">
        <v>518</v>
      </c>
      <c r="AT85" s="252"/>
    </row>
    <row r="86" spans="1:57" x14ac:dyDescent="0.25">
      <c r="A86" s="404">
        <v>1</v>
      </c>
      <c r="B86" s="397">
        <v>2</v>
      </c>
      <c r="C86" s="403">
        <v>3</v>
      </c>
      <c r="D86" s="412">
        <v>4</v>
      </c>
      <c r="E86" s="413">
        <v>5</v>
      </c>
      <c r="F86" s="398">
        <v>6</v>
      </c>
      <c r="G86" s="245" t="s">
        <v>472</v>
      </c>
      <c r="H86" s="245" t="s">
        <v>473</v>
      </c>
      <c r="I86" s="372" t="s">
        <v>474</v>
      </c>
      <c r="J86" s="404">
        <v>10</v>
      </c>
      <c r="K86" s="397">
        <v>11</v>
      </c>
      <c r="L86" s="408" t="s">
        <v>475</v>
      </c>
      <c r="M86" s="409" t="s">
        <v>476</v>
      </c>
      <c r="N86" s="374" t="s">
        <v>477</v>
      </c>
      <c r="O86" s="245" t="s">
        <v>478</v>
      </c>
      <c r="P86" s="245" t="s">
        <v>479</v>
      </c>
      <c r="Q86" s="372" t="s">
        <v>480</v>
      </c>
      <c r="R86" s="377" t="s">
        <v>481</v>
      </c>
      <c r="S86" s="245" t="s">
        <v>482</v>
      </c>
      <c r="T86" s="245" t="s">
        <v>483</v>
      </c>
      <c r="U86" s="378" t="s">
        <v>484</v>
      </c>
      <c r="V86" s="374" t="s">
        <v>485</v>
      </c>
      <c r="W86" s="245" t="s">
        <v>486</v>
      </c>
      <c r="X86" s="245" t="s">
        <v>487</v>
      </c>
      <c r="Y86" s="372" t="s">
        <v>488</v>
      </c>
      <c r="Z86" s="377" t="s">
        <v>489</v>
      </c>
      <c r="AA86" s="245" t="s">
        <v>490</v>
      </c>
      <c r="AB86" s="245" t="s">
        <v>491</v>
      </c>
      <c r="AC86" s="378" t="s">
        <v>492</v>
      </c>
      <c r="AD86" s="377" t="s">
        <v>493</v>
      </c>
      <c r="AE86" s="245" t="s">
        <v>494</v>
      </c>
      <c r="AF86" s="245" t="s">
        <v>495</v>
      </c>
      <c r="AG86" s="378" t="s">
        <v>496</v>
      </c>
      <c r="AH86" s="374" t="s">
        <v>497</v>
      </c>
      <c r="AI86" s="245" t="s">
        <v>498</v>
      </c>
      <c r="AJ86" s="372" t="s">
        <v>499</v>
      </c>
      <c r="AK86" s="377" t="s">
        <v>500</v>
      </c>
      <c r="AL86" s="245" t="s">
        <v>501</v>
      </c>
      <c r="AM86" s="378" t="s">
        <v>502</v>
      </c>
      <c r="AN86" s="374" t="s">
        <v>503</v>
      </c>
      <c r="AO86" s="245" t="s">
        <v>504</v>
      </c>
      <c r="AP86" s="372" t="s">
        <v>505</v>
      </c>
      <c r="AQ86" s="377" t="s">
        <v>506</v>
      </c>
      <c r="AR86" s="245" t="s">
        <v>507</v>
      </c>
      <c r="AS86" s="378" t="s">
        <v>508</v>
      </c>
      <c r="AT86" s="253"/>
      <c r="AU86" s="244"/>
      <c r="AV86" s="244"/>
      <c r="AW86" s="244"/>
      <c r="AX86" s="244"/>
      <c r="AY86" s="244"/>
      <c r="AZ86" s="244"/>
      <c r="BA86" s="244"/>
      <c r="BB86" s="244"/>
      <c r="BC86" s="244"/>
    </row>
    <row r="87" spans="1:57" ht="15.75" x14ac:dyDescent="0.25">
      <c r="A87" s="405" t="s">
        <v>232</v>
      </c>
      <c r="B87" s="685" t="s">
        <v>125</v>
      </c>
      <c r="C87" s="686"/>
      <c r="D87" s="686"/>
      <c r="E87" s="686"/>
      <c r="F87" s="687"/>
      <c r="G87" s="687"/>
      <c r="H87" s="687"/>
      <c r="I87" s="687"/>
      <c r="J87" s="686"/>
      <c r="K87" s="686"/>
      <c r="L87" s="686"/>
      <c r="M87" s="686"/>
      <c r="N87" s="687"/>
      <c r="O87" s="687"/>
      <c r="P87" s="687"/>
      <c r="Q87" s="687"/>
      <c r="R87" s="687"/>
      <c r="S87" s="687"/>
      <c r="T87" s="687"/>
      <c r="U87" s="687"/>
      <c r="V87" s="687"/>
      <c r="W87" s="687"/>
      <c r="X87" s="687"/>
      <c r="Y87" s="687"/>
      <c r="Z87" s="687"/>
      <c r="AA87" s="687"/>
      <c r="AB87" s="687"/>
      <c r="AC87" s="687"/>
      <c r="AD87" s="687"/>
      <c r="AE87" s="687"/>
      <c r="AF87" s="687"/>
      <c r="AG87" s="687"/>
      <c r="AH87" s="687"/>
      <c r="AI87" s="687"/>
      <c r="AJ87" s="687"/>
      <c r="AK87" s="687"/>
      <c r="AL87" s="687"/>
      <c r="AM87" s="687"/>
      <c r="AN87" s="687"/>
      <c r="AO87" s="687"/>
      <c r="AP87" s="687"/>
      <c r="AQ87" s="687"/>
      <c r="AR87" s="687"/>
      <c r="AS87" s="688"/>
      <c r="AT87" s="254"/>
    </row>
    <row r="88" spans="1:57" x14ac:dyDescent="0.25">
      <c r="A88" s="406"/>
      <c r="B88" s="672" t="s">
        <v>370</v>
      </c>
      <c r="C88" s="673"/>
      <c r="D88" s="673"/>
      <c r="E88" s="673"/>
      <c r="F88" s="673"/>
      <c r="G88" s="673"/>
      <c r="H88" s="673"/>
      <c r="I88" s="673"/>
      <c r="J88" s="673"/>
      <c r="K88" s="673"/>
      <c r="L88" s="673"/>
      <c r="M88" s="673"/>
      <c r="N88" s="673"/>
      <c r="O88" s="673"/>
      <c r="P88" s="673"/>
      <c r="Q88" s="673"/>
      <c r="R88" s="673"/>
      <c r="S88" s="673"/>
      <c r="T88" s="673"/>
      <c r="U88" s="673"/>
      <c r="V88" s="673"/>
      <c r="W88" s="673"/>
      <c r="X88" s="673"/>
      <c r="Y88" s="673"/>
      <c r="Z88" s="673"/>
      <c r="AA88" s="673"/>
      <c r="AB88" s="673"/>
      <c r="AC88" s="673"/>
      <c r="AD88" s="673"/>
      <c r="AE88" s="673"/>
      <c r="AF88" s="673"/>
      <c r="AG88" s="673"/>
      <c r="AH88" s="673"/>
      <c r="AI88" s="673"/>
      <c r="AJ88" s="673"/>
      <c r="AK88" s="673"/>
      <c r="AL88" s="673"/>
      <c r="AM88" s="673"/>
      <c r="AN88" s="673"/>
      <c r="AO88" s="673"/>
      <c r="AP88" s="673"/>
      <c r="AQ88" s="673"/>
      <c r="AR88" s="673"/>
      <c r="AS88" s="690"/>
      <c r="AT88" s="255"/>
    </row>
    <row r="89" spans="1:57" s="381" customFormat="1" ht="29.25" customHeight="1" x14ac:dyDescent="0.25">
      <c r="A89" s="405" t="s">
        <v>127</v>
      </c>
      <c r="B89" s="399" t="s">
        <v>128</v>
      </c>
      <c r="C89" s="482"/>
      <c r="D89" s="483"/>
      <c r="E89" s="484"/>
      <c r="F89" s="485"/>
      <c r="G89" s="486"/>
      <c r="H89" s="486"/>
      <c r="I89" s="487"/>
      <c r="J89" s="482"/>
      <c r="K89" s="486"/>
      <c r="L89" s="486"/>
      <c r="M89" s="488"/>
      <c r="N89" s="485"/>
      <c r="O89" s="486"/>
      <c r="P89" s="486"/>
      <c r="Q89" s="487"/>
      <c r="R89" s="482"/>
      <c r="S89" s="486"/>
      <c r="T89" s="486"/>
      <c r="U89" s="488"/>
      <c r="V89" s="485"/>
      <c r="W89" s="486"/>
      <c r="X89" s="486"/>
      <c r="Y89" s="487"/>
      <c r="Z89" s="482"/>
      <c r="AA89" s="487"/>
      <c r="AB89" s="489"/>
      <c r="AC89" s="490"/>
      <c r="AD89" s="482"/>
      <c r="AE89" s="487"/>
      <c r="AF89" s="489"/>
      <c r="AG89" s="490"/>
      <c r="AH89" s="485"/>
      <c r="AI89" s="487"/>
      <c r="AJ89" s="489"/>
      <c r="AK89" s="482"/>
      <c r="AL89" s="487"/>
      <c r="AM89" s="490"/>
      <c r="AN89" s="485"/>
      <c r="AO89" s="487"/>
      <c r="AP89" s="489"/>
      <c r="AQ89" s="482"/>
      <c r="AR89" s="487"/>
      <c r="AS89" s="490"/>
      <c r="AT89" s="396"/>
    </row>
    <row r="90" spans="1:57" ht="30" x14ac:dyDescent="0.25">
      <c r="A90" s="406" t="s">
        <v>129</v>
      </c>
      <c r="B90" s="400" t="s">
        <v>130</v>
      </c>
      <c r="C90" s="427"/>
      <c r="D90" s="428"/>
      <c r="E90" s="429"/>
      <c r="F90" s="430"/>
      <c r="G90" s="431"/>
      <c r="H90" s="431"/>
      <c r="I90" s="432"/>
      <c r="J90" s="427"/>
      <c r="K90" s="431"/>
      <c r="L90" s="431"/>
      <c r="M90" s="433"/>
      <c r="N90" s="430"/>
      <c r="O90" s="431"/>
      <c r="P90" s="431"/>
      <c r="Q90" s="432"/>
      <c r="R90" s="427"/>
      <c r="S90" s="431"/>
      <c r="T90" s="431"/>
      <c r="U90" s="433"/>
      <c r="V90" s="430"/>
      <c r="W90" s="431"/>
      <c r="X90" s="431"/>
      <c r="Y90" s="434"/>
      <c r="Z90" s="427"/>
      <c r="AA90" s="431"/>
      <c r="AB90" s="431"/>
      <c r="AC90" s="435"/>
      <c r="AD90" s="427"/>
      <c r="AE90" s="431"/>
      <c r="AF90" s="431"/>
      <c r="AG90" s="433"/>
      <c r="AH90" s="430"/>
      <c r="AI90" s="431"/>
      <c r="AJ90" s="434"/>
      <c r="AK90" s="427"/>
      <c r="AL90" s="431"/>
      <c r="AM90" s="435"/>
      <c r="AN90" s="430"/>
      <c r="AO90" s="431"/>
      <c r="AP90" s="434"/>
      <c r="AQ90" s="427"/>
      <c r="AR90" s="431"/>
      <c r="AS90" s="435"/>
      <c r="AT90" s="257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>
        <f t="shared" ref="BE90:BE105" si="98">C90-AE90-AF90-AI90-AJ90-AL90-AM90-AO90-AP90-AR90-AS90</f>
        <v>0</v>
      </c>
    </row>
    <row r="91" spans="1:57" ht="20.25" customHeight="1" x14ac:dyDescent="0.25">
      <c r="A91" s="406" t="s">
        <v>131</v>
      </c>
      <c r="B91" s="400" t="s">
        <v>132</v>
      </c>
      <c r="C91" s="427"/>
      <c r="D91" s="428"/>
      <c r="E91" s="429"/>
      <c r="F91" s="430"/>
      <c r="G91" s="431"/>
      <c r="H91" s="431"/>
      <c r="I91" s="432"/>
      <c r="J91" s="427"/>
      <c r="K91" s="431"/>
      <c r="L91" s="431"/>
      <c r="M91" s="433"/>
      <c r="N91" s="430"/>
      <c r="O91" s="431"/>
      <c r="P91" s="431"/>
      <c r="Q91" s="432"/>
      <c r="R91" s="427"/>
      <c r="S91" s="431"/>
      <c r="T91" s="431"/>
      <c r="U91" s="433"/>
      <c r="V91" s="430"/>
      <c r="W91" s="431"/>
      <c r="X91" s="431"/>
      <c r="Y91" s="434"/>
      <c r="Z91" s="427"/>
      <c r="AA91" s="431"/>
      <c r="AB91" s="431"/>
      <c r="AC91" s="435"/>
      <c r="AD91" s="427"/>
      <c r="AE91" s="431"/>
      <c r="AF91" s="431"/>
      <c r="AG91" s="433"/>
      <c r="AH91" s="430"/>
      <c r="AI91" s="431"/>
      <c r="AJ91" s="434"/>
      <c r="AK91" s="427"/>
      <c r="AL91" s="431"/>
      <c r="AM91" s="435"/>
      <c r="AN91" s="430"/>
      <c r="AO91" s="431"/>
      <c r="AP91" s="434"/>
      <c r="AQ91" s="427"/>
      <c r="AR91" s="431"/>
      <c r="AS91" s="435"/>
      <c r="AT91" s="257"/>
      <c r="AU91" s="238"/>
      <c r="AV91" s="238"/>
      <c r="AW91" s="238"/>
      <c r="AX91" s="238"/>
      <c r="AY91" s="238"/>
      <c r="AZ91" s="238"/>
      <c r="BA91" s="238"/>
      <c r="BB91" s="238"/>
      <c r="BC91" s="238"/>
      <c r="BD91" s="238"/>
      <c r="BE91" s="238">
        <f t="shared" si="98"/>
        <v>0</v>
      </c>
    </row>
    <row r="92" spans="1:57" ht="27.75" customHeight="1" x14ac:dyDescent="0.25">
      <c r="A92" s="406" t="s">
        <v>133</v>
      </c>
      <c r="B92" s="400" t="s">
        <v>134</v>
      </c>
      <c r="C92" s="427"/>
      <c r="D92" s="428"/>
      <c r="E92" s="429"/>
      <c r="F92" s="430"/>
      <c r="G92" s="431"/>
      <c r="H92" s="431"/>
      <c r="I92" s="432"/>
      <c r="J92" s="427"/>
      <c r="K92" s="431"/>
      <c r="L92" s="431"/>
      <c r="M92" s="433"/>
      <c r="N92" s="430"/>
      <c r="O92" s="431"/>
      <c r="P92" s="431"/>
      <c r="Q92" s="432"/>
      <c r="R92" s="427"/>
      <c r="S92" s="431"/>
      <c r="T92" s="431"/>
      <c r="U92" s="433"/>
      <c r="V92" s="430"/>
      <c r="W92" s="431"/>
      <c r="X92" s="431"/>
      <c r="Y92" s="434"/>
      <c r="Z92" s="427"/>
      <c r="AA92" s="431"/>
      <c r="AB92" s="431"/>
      <c r="AC92" s="435"/>
      <c r="AD92" s="427"/>
      <c r="AE92" s="431"/>
      <c r="AF92" s="431"/>
      <c r="AG92" s="433"/>
      <c r="AH92" s="430"/>
      <c r="AI92" s="431"/>
      <c r="AJ92" s="434"/>
      <c r="AK92" s="427"/>
      <c r="AL92" s="431"/>
      <c r="AM92" s="435"/>
      <c r="AN92" s="430"/>
      <c r="AO92" s="431"/>
      <c r="AP92" s="434"/>
      <c r="AQ92" s="427"/>
      <c r="AR92" s="431"/>
      <c r="AS92" s="435"/>
      <c r="AT92" s="257"/>
      <c r="AU92" s="238"/>
      <c r="AV92" s="238"/>
      <c r="AW92" s="238"/>
      <c r="AX92" s="238"/>
      <c r="AY92" s="238"/>
      <c r="AZ92" s="238"/>
      <c r="BA92" s="238"/>
      <c r="BB92" s="238"/>
      <c r="BC92" s="238"/>
      <c r="BD92" s="238"/>
      <c r="BE92" s="238">
        <f t="shared" si="98"/>
        <v>0</v>
      </c>
    </row>
    <row r="93" spans="1:57" ht="30" x14ac:dyDescent="0.25">
      <c r="A93" s="406" t="s">
        <v>135</v>
      </c>
      <c r="B93" s="400" t="s">
        <v>136</v>
      </c>
      <c r="C93" s="427"/>
      <c r="D93" s="428"/>
      <c r="E93" s="429"/>
      <c r="F93" s="430"/>
      <c r="G93" s="431"/>
      <c r="H93" s="431"/>
      <c r="I93" s="432"/>
      <c r="J93" s="427"/>
      <c r="K93" s="431"/>
      <c r="L93" s="431"/>
      <c r="M93" s="433"/>
      <c r="N93" s="430"/>
      <c r="O93" s="431"/>
      <c r="P93" s="431"/>
      <c r="Q93" s="432"/>
      <c r="R93" s="427"/>
      <c r="S93" s="431"/>
      <c r="T93" s="431"/>
      <c r="U93" s="433"/>
      <c r="V93" s="430"/>
      <c r="W93" s="431"/>
      <c r="X93" s="431"/>
      <c r="Y93" s="434"/>
      <c r="Z93" s="427"/>
      <c r="AA93" s="431"/>
      <c r="AB93" s="431"/>
      <c r="AC93" s="435"/>
      <c r="AD93" s="427"/>
      <c r="AE93" s="431"/>
      <c r="AF93" s="431"/>
      <c r="AG93" s="433"/>
      <c r="AH93" s="430"/>
      <c r="AI93" s="431"/>
      <c r="AJ93" s="434"/>
      <c r="AK93" s="427"/>
      <c r="AL93" s="431"/>
      <c r="AM93" s="435"/>
      <c r="AN93" s="430"/>
      <c r="AO93" s="431"/>
      <c r="AP93" s="434"/>
      <c r="AQ93" s="427"/>
      <c r="AR93" s="431"/>
      <c r="AS93" s="435"/>
      <c r="AT93" s="257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>
        <f t="shared" si="98"/>
        <v>0</v>
      </c>
    </row>
    <row r="94" spans="1:57" ht="30" x14ac:dyDescent="0.25">
      <c r="A94" s="406" t="s">
        <v>137</v>
      </c>
      <c r="B94" s="400" t="s">
        <v>138</v>
      </c>
      <c r="C94" s="427"/>
      <c r="D94" s="428"/>
      <c r="E94" s="429"/>
      <c r="F94" s="430"/>
      <c r="G94" s="431"/>
      <c r="H94" s="431"/>
      <c r="I94" s="432"/>
      <c r="J94" s="427"/>
      <c r="K94" s="431"/>
      <c r="L94" s="431"/>
      <c r="M94" s="433"/>
      <c r="N94" s="430"/>
      <c r="O94" s="431"/>
      <c r="P94" s="431"/>
      <c r="Q94" s="432"/>
      <c r="R94" s="427"/>
      <c r="S94" s="431"/>
      <c r="T94" s="431"/>
      <c r="U94" s="433"/>
      <c r="V94" s="430"/>
      <c r="W94" s="431"/>
      <c r="X94" s="431"/>
      <c r="Y94" s="434"/>
      <c r="Z94" s="427"/>
      <c r="AA94" s="431"/>
      <c r="AB94" s="431"/>
      <c r="AC94" s="435"/>
      <c r="AD94" s="427"/>
      <c r="AE94" s="431"/>
      <c r="AF94" s="431"/>
      <c r="AG94" s="433"/>
      <c r="AH94" s="430"/>
      <c r="AI94" s="431"/>
      <c r="AJ94" s="434"/>
      <c r="AK94" s="427"/>
      <c r="AL94" s="431"/>
      <c r="AM94" s="435"/>
      <c r="AN94" s="430"/>
      <c r="AO94" s="431"/>
      <c r="AP94" s="434"/>
      <c r="AQ94" s="427"/>
      <c r="AR94" s="431"/>
      <c r="AS94" s="435"/>
      <c r="AT94" s="257"/>
      <c r="AU94" s="238"/>
      <c r="AV94" s="238"/>
      <c r="AW94" s="238"/>
      <c r="AX94" s="238"/>
      <c r="AY94" s="238"/>
      <c r="AZ94" s="238"/>
      <c r="BA94" s="238"/>
      <c r="BB94" s="238"/>
      <c r="BC94" s="238"/>
      <c r="BD94" s="238"/>
      <c r="BE94" s="238">
        <f t="shared" si="98"/>
        <v>0</v>
      </c>
    </row>
    <row r="95" spans="1:57" ht="30" x14ac:dyDescent="0.25">
      <c r="A95" s="406" t="s">
        <v>139</v>
      </c>
      <c r="B95" s="400" t="s">
        <v>140</v>
      </c>
      <c r="C95" s="427"/>
      <c r="D95" s="428"/>
      <c r="E95" s="429"/>
      <c r="F95" s="430"/>
      <c r="G95" s="431"/>
      <c r="H95" s="431"/>
      <c r="I95" s="432"/>
      <c r="J95" s="427"/>
      <c r="K95" s="431"/>
      <c r="L95" s="431"/>
      <c r="M95" s="433"/>
      <c r="N95" s="430"/>
      <c r="O95" s="431"/>
      <c r="P95" s="431"/>
      <c r="Q95" s="432"/>
      <c r="R95" s="427"/>
      <c r="S95" s="431"/>
      <c r="T95" s="431"/>
      <c r="U95" s="433"/>
      <c r="V95" s="430"/>
      <c r="W95" s="431"/>
      <c r="X95" s="431"/>
      <c r="Y95" s="434"/>
      <c r="Z95" s="427"/>
      <c r="AA95" s="431"/>
      <c r="AB95" s="431"/>
      <c r="AC95" s="435"/>
      <c r="AD95" s="427"/>
      <c r="AE95" s="431"/>
      <c r="AF95" s="431"/>
      <c r="AG95" s="433"/>
      <c r="AH95" s="430"/>
      <c r="AI95" s="431"/>
      <c r="AJ95" s="434"/>
      <c r="AK95" s="427"/>
      <c r="AL95" s="431"/>
      <c r="AM95" s="435"/>
      <c r="AN95" s="430"/>
      <c r="AO95" s="431"/>
      <c r="AP95" s="434"/>
      <c r="AQ95" s="427"/>
      <c r="AR95" s="431"/>
      <c r="AS95" s="435"/>
      <c r="AT95" s="257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8">
        <f t="shared" si="98"/>
        <v>0</v>
      </c>
    </row>
    <row r="96" spans="1:57" ht="30" x14ac:dyDescent="0.25">
      <c r="A96" s="406" t="s">
        <v>141</v>
      </c>
      <c r="B96" s="400" t="s">
        <v>142</v>
      </c>
      <c r="C96" s="427"/>
      <c r="D96" s="428"/>
      <c r="E96" s="429"/>
      <c r="F96" s="430"/>
      <c r="G96" s="431"/>
      <c r="H96" s="431"/>
      <c r="I96" s="432"/>
      <c r="J96" s="427"/>
      <c r="K96" s="431"/>
      <c r="L96" s="431"/>
      <c r="M96" s="433"/>
      <c r="N96" s="430"/>
      <c r="O96" s="431"/>
      <c r="P96" s="431"/>
      <c r="Q96" s="432"/>
      <c r="R96" s="427"/>
      <c r="S96" s="431"/>
      <c r="T96" s="431"/>
      <c r="U96" s="433"/>
      <c r="V96" s="430"/>
      <c r="W96" s="431"/>
      <c r="X96" s="431"/>
      <c r="Y96" s="434"/>
      <c r="Z96" s="427"/>
      <c r="AA96" s="431"/>
      <c r="AB96" s="431"/>
      <c r="AC96" s="435"/>
      <c r="AD96" s="427"/>
      <c r="AE96" s="431"/>
      <c r="AF96" s="431"/>
      <c r="AG96" s="433"/>
      <c r="AH96" s="430"/>
      <c r="AI96" s="431"/>
      <c r="AJ96" s="434"/>
      <c r="AK96" s="427"/>
      <c r="AL96" s="431"/>
      <c r="AM96" s="435"/>
      <c r="AN96" s="430"/>
      <c r="AO96" s="431"/>
      <c r="AP96" s="434"/>
      <c r="AQ96" s="427"/>
      <c r="AR96" s="431"/>
      <c r="AS96" s="435"/>
      <c r="AT96" s="257"/>
      <c r="AU96" s="238"/>
      <c r="AV96" s="238"/>
      <c r="AW96" s="238"/>
      <c r="AX96" s="238"/>
      <c r="AY96" s="238"/>
      <c r="AZ96" s="238"/>
      <c r="BA96" s="238"/>
      <c r="BB96" s="238"/>
      <c r="BC96" s="238"/>
      <c r="BD96" s="238"/>
      <c r="BE96" s="238">
        <f t="shared" si="98"/>
        <v>0</v>
      </c>
    </row>
    <row r="97" spans="1:57" s="381" customFormat="1" ht="18" customHeight="1" x14ac:dyDescent="0.25">
      <c r="A97" s="405" t="s">
        <v>143</v>
      </c>
      <c r="B97" s="399"/>
      <c r="C97" s="436"/>
      <c r="D97" s="437"/>
      <c r="E97" s="438"/>
      <c r="F97" s="439"/>
      <c r="G97" s="440"/>
      <c r="H97" s="440"/>
      <c r="I97" s="441"/>
      <c r="J97" s="436"/>
      <c r="K97" s="440"/>
      <c r="L97" s="440"/>
      <c r="M97" s="442"/>
      <c r="N97" s="439"/>
      <c r="O97" s="440"/>
      <c r="P97" s="440"/>
      <c r="Q97" s="441"/>
      <c r="R97" s="436"/>
      <c r="S97" s="440"/>
      <c r="T97" s="440"/>
      <c r="U97" s="442"/>
      <c r="V97" s="439"/>
      <c r="W97" s="440"/>
      <c r="X97" s="440"/>
      <c r="Y97" s="443"/>
      <c r="Z97" s="436"/>
      <c r="AA97" s="440"/>
      <c r="AB97" s="440"/>
      <c r="AC97" s="444"/>
      <c r="AD97" s="436"/>
      <c r="AE97" s="440"/>
      <c r="AF97" s="440"/>
      <c r="AG97" s="442"/>
      <c r="AH97" s="439"/>
      <c r="AI97" s="440"/>
      <c r="AJ97" s="443"/>
      <c r="AK97" s="436"/>
      <c r="AL97" s="440"/>
      <c r="AM97" s="444"/>
      <c r="AN97" s="439"/>
      <c r="AO97" s="440"/>
      <c r="AP97" s="443"/>
      <c r="AQ97" s="436"/>
      <c r="AR97" s="440"/>
      <c r="AS97" s="444"/>
      <c r="AT97" s="320"/>
      <c r="AU97" s="382"/>
      <c r="AV97" s="382"/>
      <c r="AW97" s="382"/>
      <c r="AX97" s="382"/>
      <c r="AY97" s="382"/>
      <c r="AZ97" s="382"/>
      <c r="BA97" s="382"/>
      <c r="BB97" s="382"/>
      <c r="BC97" s="382"/>
      <c r="BD97" s="382"/>
      <c r="BE97" s="382">
        <f t="shared" si="98"/>
        <v>0</v>
      </c>
    </row>
    <row r="98" spans="1:57" s="381" customFormat="1" ht="36.75" customHeight="1" x14ac:dyDescent="0.25">
      <c r="A98" s="405" t="s">
        <v>144</v>
      </c>
      <c r="B98" s="399" t="s">
        <v>145</v>
      </c>
      <c r="C98" s="436"/>
      <c r="D98" s="437"/>
      <c r="E98" s="438"/>
      <c r="F98" s="439"/>
      <c r="G98" s="440"/>
      <c r="H98" s="440"/>
      <c r="I98" s="441"/>
      <c r="J98" s="436"/>
      <c r="K98" s="440"/>
      <c r="L98" s="440"/>
      <c r="M98" s="442"/>
      <c r="N98" s="439"/>
      <c r="O98" s="440"/>
      <c r="P98" s="440"/>
      <c r="Q98" s="441"/>
      <c r="R98" s="436"/>
      <c r="S98" s="440"/>
      <c r="T98" s="440"/>
      <c r="U98" s="442"/>
      <c r="V98" s="439"/>
      <c r="W98" s="440"/>
      <c r="X98" s="440"/>
      <c r="Y98" s="443"/>
      <c r="Z98" s="436"/>
      <c r="AA98" s="440"/>
      <c r="AB98" s="440"/>
      <c r="AC98" s="444"/>
      <c r="AD98" s="436"/>
      <c r="AE98" s="440"/>
      <c r="AF98" s="440"/>
      <c r="AG98" s="442"/>
      <c r="AH98" s="439"/>
      <c r="AI98" s="440"/>
      <c r="AJ98" s="443"/>
      <c r="AK98" s="436"/>
      <c r="AL98" s="440"/>
      <c r="AM98" s="444"/>
      <c r="AN98" s="439"/>
      <c r="AO98" s="440"/>
      <c r="AP98" s="443"/>
      <c r="AQ98" s="436"/>
      <c r="AR98" s="440"/>
      <c r="AS98" s="444"/>
      <c r="AT98" s="320"/>
      <c r="AU98" s="382"/>
      <c r="AV98" s="382"/>
      <c r="AW98" s="382"/>
      <c r="AX98" s="382"/>
      <c r="AY98" s="382"/>
      <c r="AZ98" s="382"/>
      <c r="BA98" s="382"/>
      <c r="BB98" s="382"/>
      <c r="BC98" s="382"/>
      <c r="BD98" s="382"/>
      <c r="BE98" s="382">
        <f t="shared" si="98"/>
        <v>0</v>
      </c>
    </row>
    <row r="99" spans="1:57" ht="28.5" customHeight="1" x14ac:dyDescent="0.25">
      <c r="A99" s="406" t="s">
        <v>146</v>
      </c>
      <c r="B99" s="400" t="s">
        <v>147</v>
      </c>
      <c r="C99" s="427">
        <v>4843</v>
      </c>
      <c r="D99" s="428">
        <f>AE99+AI99+AL99+AO99+AR99</f>
        <v>0</v>
      </c>
      <c r="E99" s="429">
        <f t="shared" ref="E99:E100" si="99">AF99+AJ99+AM99+AP99+AS99</f>
        <v>4843</v>
      </c>
      <c r="F99" s="430">
        <f>' Фінплан освоєння '!O25</f>
        <v>4843.3140000000003</v>
      </c>
      <c r="G99" s="431"/>
      <c r="H99" s="431">
        <f>$C$99/5</f>
        <v>968.6</v>
      </c>
      <c r="I99" s="432"/>
      <c r="J99" s="427"/>
      <c r="K99" s="431"/>
      <c r="L99" s="431">
        <f>$C$99/5</f>
        <v>968.6</v>
      </c>
      <c r="M99" s="433"/>
      <c r="N99" s="430"/>
      <c r="O99" s="431"/>
      <c r="P99" s="431">
        <f>$C$99/5</f>
        <v>968.6</v>
      </c>
      <c r="Q99" s="432"/>
      <c r="R99" s="427"/>
      <c r="S99" s="431"/>
      <c r="T99" s="431">
        <f>$C$99/5</f>
        <v>968.6</v>
      </c>
      <c r="U99" s="433"/>
      <c r="V99" s="430"/>
      <c r="W99" s="431"/>
      <c r="X99" s="431">
        <f>$C$99/5</f>
        <v>968.6</v>
      </c>
      <c r="Y99" s="434"/>
      <c r="Z99" s="427"/>
      <c r="AA99" s="431"/>
      <c r="AB99" s="431"/>
      <c r="AC99" s="435"/>
      <c r="AD99" s="427">
        <f t="shared" ref="AD99:AD101" si="100">F99+J99+N99+R99+V99+Z99</f>
        <v>4843.3140000000003</v>
      </c>
      <c r="AE99" s="431">
        <f t="shared" ref="AE99:AF101" si="101">G99+K99+O99+S99+W99+AA99</f>
        <v>0</v>
      </c>
      <c r="AF99" s="431">
        <f t="shared" si="101"/>
        <v>4843</v>
      </c>
      <c r="AG99" s="433">
        <f t="shared" ref="AG99:AG101" si="102">I99+M99+Q99+U99+Y99+AC99</f>
        <v>0</v>
      </c>
      <c r="AH99" s="430"/>
      <c r="AI99" s="431"/>
      <c r="AJ99" s="434"/>
      <c r="AK99" s="427"/>
      <c r="AL99" s="431"/>
      <c r="AM99" s="435"/>
      <c r="AN99" s="430"/>
      <c r="AO99" s="431"/>
      <c r="AP99" s="434"/>
      <c r="AQ99" s="427"/>
      <c r="AR99" s="431"/>
      <c r="AS99" s="435"/>
      <c r="AT99" s="257"/>
      <c r="AU99" s="238"/>
      <c r="AV99" s="238"/>
      <c r="AW99" s="238"/>
      <c r="AX99" s="238"/>
      <c r="AY99" s="238"/>
      <c r="AZ99" s="238"/>
      <c r="BA99" s="238"/>
      <c r="BB99" s="238"/>
      <c r="BC99" s="238"/>
      <c r="BD99" s="238"/>
      <c r="BE99" s="238">
        <f t="shared" si="98"/>
        <v>0</v>
      </c>
    </row>
    <row r="100" spans="1:57" ht="28.5" customHeight="1" x14ac:dyDescent="0.25">
      <c r="A100" s="406" t="s">
        <v>148</v>
      </c>
      <c r="B100" s="400" t="s">
        <v>149</v>
      </c>
      <c r="C100" s="427">
        <v>3213</v>
      </c>
      <c r="D100" s="428">
        <f t="shared" ref="D100" si="103">AE100+AI100+AL100+AO100+AR100</f>
        <v>0</v>
      </c>
      <c r="E100" s="429">
        <f t="shared" si="99"/>
        <v>3213</v>
      </c>
      <c r="F100" s="430">
        <f>' Фінплан освоєння '!O26</f>
        <v>3212.8429999999998</v>
      </c>
      <c r="G100" s="431"/>
      <c r="H100" s="431">
        <f>$C$100/5</f>
        <v>642.6</v>
      </c>
      <c r="I100" s="432"/>
      <c r="J100" s="427"/>
      <c r="K100" s="431"/>
      <c r="L100" s="431">
        <f>$C$100/5</f>
        <v>642.6</v>
      </c>
      <c r="M100" s="433"/>
      <c r="N100" s="430"/>
      <c r="O100" s="431"/>
      <c r="P100" s="431">
        <f>$C$100/5</f>
        <v>642.6</v>
      </c>
      <c r="Q100" s="432"/>
      <c r="R100" s="427"/>
      <c r="S100" s="431"/>
      <c r="T100" s="431">
        <f>$C$100/5</f>
        <v>642.6</v>
      </c>
      <c r="U100" s="433"/>
      <c r="V100" s="430"/>
      <c r="W100" s="431"/>
      <c r="X100" s="431">
        <f>$C$100/5</f>
        <v>642.6</v>
      </c>
      <c r="Y100" s="434"/>
      <c r="Z100" s="427"/>
      <c r="AA100" s="431"/>
      <c r="AB100" s="431"/>
      <c r="AC100" s="435"/>
      <c r="AD100" s="427">
        <f t="shared" si="100"/>
        <v>3212.8429999999998</v>
      </c>
      <c r="AE100" s="431">
        <f t="shared" si="101"/>
        <v>0</v>
      </c>
      <c r="AF100" s="431">
        <f t="shared" si="101"/>
        <v>3213</v>
      </c>
      <c r="AG100" s="433">
        <f t="shared" si="102"/>
        <v>0</v>
      </c>
      <c r="AH100" s="430"/>
      <c r="AI100" s="431"/>
      <c r="AJ100" s="434"/>
      <c r="AK100" s="427"/>
      <c r="AL100" s="431"/>
      <c r="AM100" s="435"/>
      <c r="AN100" s="430"/>
      <c r="AO100" s="431"/>
      <c r="AP100" s="434"/>
      <c r="AQ100" s="427"/>
      <c r="AR100" s="431"/>
      <c r="AS100" s="435"/>
      <c r="AT100" s="257"/>
      <c r="AU100" s="238"/>
      <c r="AV100" s="238"/>
      <c r="AW100" s="238"/>
      <c r="AX100" s="238"/>
      <c r="AY100" s="238"/>
      <c r="AZ100" s="238"/>
      <c r="BA100" s="238"/>
      <c r="BB100" s="238"/>
      <c r="BC100" s="238"/>
      <c r="BD100" s="238"/>
      <c r="BE100" s="238">
        <f t="shared" si="98"/>
        <v>0</v>
      </c>
    </row>
    <row r="101" spans="1:57" ht="22.5" customHeight="1" x14ac:dyDescent="0.25">
      <c r="A101" s="405" t="s">
        <v>150</v>
      </c>
      <c r="B101" s="399"/>
      <c r="C101" s="436">
        <v>8056</v>
      </c>
      <c r="D101" s="428">
        <f t="shared" ref="D101" si="104">AE101+AI101+AL101+AO101+AR101</f>
        <v>0</v>
      </c>
      <c r="E101" s="429">
        <f t="shared" ref="E101" si="105">AF101+AJ101+AM101+AP101+AS101</f>
        <v>8056</v>
      </c>
      <c r="F101" s="439">
        <f>F99+F100</f>
        <v>8056.1570000000002</v>
      </c>
      <c r="G101" s="440"/>
      <c r="H101" s="440">
        <f>$C$101/5</f>
        <v>1611.2</v>
      </c>
      <c r="I101" s="432"/>
      <c r="J101" s="436"/>
      <c r="K101" s="440"/>
      <c r="L101" s="440">
        <f>$C$101/5</f>
        <v>1611.2</v>
      </c>
      <c r="M101" s="433"/>
      <c r="N101" s="439"/>
      <c r="O101" s="440"/>
      <c r="P101" s="440">
        <f>$C$101/5</f>
        <v>1611.2</v>
      </c>
      <c r="Q101" s="432"/>
      <c r="R101" s="436"/>
      <c r="S101" s="440"/>
      <c r="T101" s="440">
        <f>$C$101/5</f>
        <v>1611.2</v>
      </c>
      <c r="U101" s="433"/>
      <c r="V101" s="439"/>
      <c r="W101" s="440"/>
      <c r="X101" s="440">
        <f>$C$101/5</f>
        <v>1611.2</v>
      </c>
      <c r="Y101" s="434"/>
      <c r="Z101" s="436"/>
      <c r="AA101" s="440">
        <f>' розрах Аморт ОЗ створ15'!K18</f>
        <v>0</v>
      </c>
      <c r="AB101" s="440"/>
      <c r="AC101" s="435"/>
      <c r="AD101" s="436">
        <f t="shared" si="100"/>
        <v>8056.1570000000002</v>
      </c>
      <c r="AE101" s="440">
        <f t="shared" si="101"/>
        <v>0</v>
      </c>
      <c r="AF101" s="440">
        <f t="shared" si="101"/>
        <v>8056</v>
      </c>
      <c r="AG101" s="433">
        <f t="shared" si="102"/>
        <v>0</v>
      </c>
      <c r="AH101" s="439"/>
      <c r="AI101" s="431"/>
      <c r="AJ101" s="443"/>
      <c r="AK101" s="436"/>
      <c r="AL101" s="431"/>
      <c r="AM101" s="444"/>
      <c r="AN101" s="439"/>
      <c r="AO101" s="431"/>
      <c r="AP101" s="443"/>
      <c r="AQ101" s="436"/>
      <c r="AR101" s="440"/>
      <c r="AS101" s="444"/>
      <c r="AT101" s="320"/>
      <c r="AU101" s="238"/>
      <c r="AV101" s="238"/>
      <c r="AW101" s="238"/>
      <c r="AX101" s="238"/>
      <c r="AY101" s="238"/>
      <c r="AZ101" s="238"/>
      <c r="BA101" s="238"/>
      <c r="BB101" s="238"/>
      <c r="BC101" s="238"/>
      <c r="BD101" s="238"/>
      <c r="BE101" s="238">
        <f t="shared" si="98"/>
        <v>0</v>
      </c>
    </row>
    <row r="102" spans="1:57" s="381" customFormat="1" ht="29.25" x14ac:dyDescent="0.25">
      <c r="A102" s="405" t="s">
        <v>151</v>
      </c>
      <c r="B102" s="399" t="s">
        <v>152</v>
      </c>
      <c r="C102" s="436"/>
      <c r="D102" s="437"/>
      <c r="E102" s="438"/>
      <c r="F102" s="439"/>
      <c r="G102" s="440"/>
      <c r="H102" s="440"/>
      <c r="I102" s="441"/>
      <c r="J102" s="436"/>
      <c r="K102" s="440"/>
      <c r="L102" s="440"/>
      <c r="M102" s="442"/>
      <c r="N102" s="439"/>
      <c r="O102" s="440"/>
      <c r="P102" s="440"/>
      <c r="Q102" s="441"/>
      <c r="R102" s="436"/>
      <c r="S102" s="440"/>
      <c r="T102" s="440"/>
      <c r="U102" s="442"/>
      <c r="V102" s="439"/>
      <c r="W102" s="440"/>
      <c r="X102" s="440"/>
      <c r="Y102" s="443"/>
      <c r="Z102" s="436"/>
      <c r="AA102" s="440"/>
      <c r="AB102" s="440"/>
      <c r="AC102" s="444"/>
      <c r="AD102" s="436"/>
      <c r="AE102" s="440"/>
      <c r="AF102" s="440"/>
      <c r="AG102" s="442"/>
      <c r="AH102" s="439"/>
      <c r="AI102" s="440"/>
      <c r="AJ102" s="443"/>
      <c r="AK102" s="436"/>
      <c r="AL102" s="440"/>
      <c r="AM102" s="444"/>
      <c r="AN102" s="439"/>
      <c r="AO102" s="440"/>
      <c r="AP102" s="443"/>
      <c r="AQ102" s="436"/>
      <c r="AR102" s="440"/>
      <c r="AS102" s="444"/>
      <c r="AT102" s="320"/>
      <c r="AU102" s="382"/>
      <c r="AV102" s="382"/>
      <c r="AW102" s="382"/>
      <c r="AX102" s="382"/>
      <c r="AY102" s="382"/>
      <c r="AZ102" s="382"/>
      <c r="BA102" s="382"/>
      <c r="BB102" s="382"/>
      <c r="BC102" s="382"/>
      <c r="BD102" s="382"/>
      <c r="BE102" s="382">
        <f t="shared" si="98"/>
        <v>0</v>
      </c>
    </row>
    <row r="103" spans="1:57" ht="30" x14ac:dyDescent="0.25">
      <c r="A103" s="406"/>
      <c r="B103" s="400" t="s">
        <v>153</v>
      </c>
      <c r="C103" s="427"/>
      <c r="D103" s="428"/>
      <c r="E103" s="429"/>
      <c r="F103" s="430"/>
      <c r="G103" s="431"/>
      <c r="H103" s="431"/>
      <c r="I103" s="432"/>
      <c r="J103" s="427"/>
      <c r="K103" s="431"/>
      <c r="L103" s="431"/>
      <c r="M103" s="433"/>
      <c r="N103" s="430"/>
      <c r="O103" s="440"/>
      <c r="P103" s="440"/>
      <c r="Q103" s="432"/>
      <c r="R103" s="427"/>
      <c r="S103" s="431"/>
      <c r="T103" s="431"/>
      <c r="U103" s="433"/>
      <c r="V103" s="430"/>
      <c r="W103" s="431"/>
      <c r="X103" s="431"/>
      <c r="Y103" s="434"/>
      <c r="Z103" s="427"/>
      <c r="AA103" s="431"/>
      <c r="AB103" s="431"/>
      <c r="AC103" s="435"/>
      <c r="AD103" s="427"/>
      <c r="AE103" s="431"/>
      <c r="AF103" s="431"/>
      <c r="AG103" s="433"/>
      <c r="AH103" s="430"/>
      <c r="AI103" s="431"/>
      <c r="AJ103" s="434"/>
      <c r="AK103" s="427"/>
      <c r="AL103" s="431"/>
      <c r="AM103" s="435"/>
      <c r="AN103" s="430"/>
      <c r="AO103" s="431"/>
      <c r="AP103" s="434"/>
      <c r="AQ103" s="427"/>
      <c r="AR103" s="431"/>
      <c r="AS103" s="435"/>
      <c r="AT103" s="257"/>
      <c r="AU103" s="238"/>
      <c r="AV103" s="238"/>
      <c r="AW103" s="238"/>
      <c r="AX103" s="238"/>
      <c r="AY103" s="238"/>
      <c r="AZ103" s="238"/>
      <c r="BA103" s="238"/>
      <c r="BB103" s="238"/>
      <c r="BC103" s="238"/>
      <c r="BD103" s="238"/>
      <c r="BE103" s="238">
        <f t="shared" si="98"/>
        <v>0</v>
      </c>
    </row>
    <row r="104" spans="1:57" s="381" customFormat="1" ht="22.5" customHeight="1" thickBot="1" x14ac:dyDescent="0.3">
      <c r="A104" s="418" t="s">
        <v>154</v>
      </c>
      <c r="B104" s="419"/>
      <c r="C104" s="445"/>
      <c r="D104" s="446"/>
      <c r="E104" s="447"/>
      <c r="F104" s="448"/>
      <c r="G104" s="449"/>
      <c r="H104" s="449"/>
      <c r="I104" s="450"/>
      <c r="J104" s="445"/>
      <c r="K104" s="449"/>
      <c r="L104" s="449"/>
      <c r="M104" s="451"/>
      <c r="N104" s="448"/>
      <c r="O104" s="449"/>
      <c r="P104" s="440"/>
      <c r="Q104" s="450"/>
      <c r="R104" s="445"/>
      <c r="S104" s="449"/>
      <c r="T104" s="449"/>
      <c r="U104" s="451"/>
      <c r="V104" s="448"/>
      <c r="W104" s="449"/>
      <c r="X104" s="449"/>
      <c r="Y104" s="452"/>
      <c r="Z104" s="445"/>
      <c r="AA104" s="449"/>
      <c r="AB104" s="449"/>
      <c r="AC104" s="453"/>
      <c r="AD104" s="445"/>
      <c r="AE104" s="449"/>
      <c r="AF104" s="449"/>
      <c r="AG104" s="451"/>
      <c r="AH104" s="448"/>
      <c r="AI104" s="449"/>
      <c r="AJ104" s="452"/>
      <c r="AK104" s="445"/>
      <c r="AL104" s="449"/>
      <c r="AM104" s="453"/>
      <c r="AN104" s="448"/>
      <c r="AO104" s="449"/>
      <c r="AP104" s="452"/>
      <c r="AQ104" s="445"/>
      <c r="AR104" s="449"/>
      <c r="AS104" s="453"/>
      <c r="AT104" s="320"/>
      <c r="AU104" s="382"/>
      <c r="AV104" s="382"/>
      <c r="AW104" s="382"/>
      <c r="AX104" s="382"/>
      <c r="AY104" s="382"/>
      <c r="AZ104" s="382"/>
      <c r="BA104" s="382"/>
      <c r="BB104" s="382"/>
      <c r="BC104" s="382"/>
      <c r="BD104" s="382"/>
      <c r="BE104" s="382">
        <f t="shared" si="98"/>
        <v>0</v>
      </c>
    </row>
    <row r="105" spans="1:57" s="381" customFormat="1" ht="22.5" customHeight="1" thickTop="1" x14ac:dyDescent="0.25">
      <c r="A105" s="420" t="s">
        <v>155</v>
      </c>
      <c r="B105" s="421"/>
      <c r="C105" s="454">
        <f>AD105+AH105+AK105+AN105+AQ105</f>
        <v>8056.1570000000002</v>
      </c>
      <c r="D105" s="455">
        <f>AE105+AI105+AL105+AO105+AR105</f>
        <v>0</v>
      </c>
      <c r="E105" s="456">
        <f>AF105+AJ105+AM105+AP105+AS105</f>
        <v>8056</v>
      </c>
      <c r="F105" s="457">
        <f>F97+F101+F104</f>
        <v>8056.1570000000002</v>
      </c>
      <c r="G105" s="458">
        <f>G97+G101+G104</f>
        <v>0</v>
      </c>
      <c r="H105" s="458">
        <f>H97+H101+H102</f>
        <v>1611.2</v>
      </c>
      <c r="I105" s="459">
        <f t="shared" ref="I105" si="106">F105-G105-H105</f>
        <v>6444.9570000000003</v>
      </c>
      <c r="J105" s="454">
        <f>' Фінплан освоєння '!P81</f>
        <v>0</v>
      </c>
      <c r="K105" s="458">
        <f t="shared" ref="K105" si="107">K97+K101+K104</f>
        <v>0</v>
      </c>
      <c r="L105" s="458">
        <f>L97+L101+L102</f>
        <v>1611.2</v>
      </c>
      <c r="M105" s="460">
        <f t="shared" ref="M105" si="108">J105-K105-L105</f>
        <v>-1611.2</v>
      </c>
      <c r="N105" s="457">
        <f>' Фінплан освоєння '!Q81</f>
        <v>0</v>
      </c>
      <c r="O105" s="458">
        <f t="shared" ref="O105:P105" si="109">O97+O101+O104</f>
        <v>0</v>
      </c>
      <c r="P105" s="458">
        <f t="shared" si="109"/>
        <v>1611.2</v>
      </c>
      <c r="Q105" s="459">
        <f>N105-O105-P105</f>
        <v>-1611.2</v>
      </c>
      <c r="R105" s="454">
        <f>' Фінплан освоєння '!R81</f>
        <v>0</v>
      </c>
      <c r="S105" s="458">
        <f t="shared" ref="S105:T105" si="110">S97+S101+S104</f>
        <v>0</v>
      </c>
      <c r="T105" s="458">
        <f t="shared" si="110"/>
        <v>1611.2</v>
      </c>
      <c r="U105" s="460">
        <f t="shared" ref="U105" si="111">R105-S105-T105</f>
        <v>-1611.2</v>
      </c>
      <c r="V105" s="457">
        <f>' Фінплан освоєння '!S81</f>
        <v>0</v>
      </c>
      <c r="W105" s="458">
        <f t="shared" ref="W105" si="112">W97+W101+W104</f>
        <v>0</v>
      </c>
      <c r="X105" s="458">
        <f>X97+X101+X102</f>
        <v>1611.2</v>
      </c>
      <c r="Y105" s="459">
        <f t="shared" ref="Y105" si="113">V105-W105-X105</f>
        <v>-1611.2</v>
      </c>
      <c r="Z105" s="454">
        <f>' Фінплан освоєння '!T81</f>
        <v>0</v>
      </c>
      <c r="AA105" s="458">
        <f>AA97+AA101+AA104</f>
        <v>0</v>
      </c>
      <c r="AB105" s="458">
        <f>AB97+AB101+AB102</f>
        <v>0</v>
      </c>
      <c r="AC105" s="460">
        <f t="shared" ref="AC105" si="114">Z105-AA105-AB105</f>
        <v>0</v>
      </c>
      <c r="AD105" s="454">
        <f t="shared" ref="AD105" si="115">F105+J105+N105+R105+V105+Z105</f>
        <v>8056.1570000000002</v>
      </c>
      <c r="AE105" s="458">
        <f t="shared" ref="AE105" si="116">G105+K105+O105+S105+W105+AA105</f>
        <v>0</v>
      </c>
      <c r="AF105" s="458">
        <f t="shared" ref="AF105" si="117">H105+L105+P105+T105+X105+AB105</f>
        <v>8056</v>
      </c>
      <c r="AG105" s="460">
        <f t="shared" ref="AG105" si="118">I105+M105+Q105+U105+Y105+AC105</f>
        <v>0.15700000000060754</v>
      </c>
      <c r="AH105" s="457">
        <f>' Фінплан освоєння '!W81</f>
        <v>0</v>
      </c>
      <c r="AI105" s="458">
        <f>AI97+AI101+AI104</f>
        <v>0</v>
      </c>
      <c r="AJ105" s="461">
        <f>AJ97+AJ101+AJ104</f>
        <v>0</v>
      </c>
      <c r="AK105" s="454">
        <f>' Фінплан освоєння '!Z81</f>
        <v>0</v>
      </c>
      <c r="AL105" s="458">
        <f>AL97+AL101+AL104</f>
        <v>0</v>
      </c>
      <c r="AM105" s="462">
        <f>AM97+AM101+AM104</f>
        <v>0</v>
      </c>
      <c r="AN105" s="457">
        <f>' Фінплан освоєння '!AC81</f>
        <v>0</v>
      </c>
      <c r="AO105" s="458">
        <f>AO97+AO101+AO104</f>
        <v>0</v>
      </c>
      <c r="AP105" s="461">
        <f>AP97+AP101+AP104</f>
        <v>0</v>
      </c>
      <c r="AQ105" s="454">
        <f>' Фінплан освоєння '!AF81</f>
        <v>0</v>
      </c>
      <c r="AR105" s="458">
        <f>AR97+AR101+AR104</f>
        <v>0</v>
      </c>
      <c r="AS105" s="462">
        <f>AS97+AS101+AS104</f>
        <v>0</v>
      </c>
      <c r="AT105" s="320"/>
      <c r="AU105" s="382"/>
      <c r="AV105" s="382"/>
      <c r="AW105" s="382"/>
      <c r="AX105" s="382"/>
      <c r="AY105" s="382"/>
      <c r="AZ105" s="382"/>
      <c r="BA105" s="382"/>
      <c r="BB105" s="382"/>
      <c r="BC105" s="382"/>
      <c r="BD105" s="382"/>
      <c r="BE105" s="382">
        <f t="shared" si="98"/>
        <v>0.1570000000001528</v>
      </c>
    </row>
    <row r="106" spans="1:57" ht="15.75" x14ac:dyDescent="0.25">
      <c r="A106" s="406"/>
      <c r="B106" s="401"/>
      <c r="C106" s="436"/>
      <c r="D106" s="463"/>
      <c r="E106" s="464"/>
      <c r="F106" s="430"/>
      <c r="G106" s="431"/>
      <c r="H106" s="431"/>
      <c r="I106" s="434"/>
      <c r="J106" s="427"/>
      <c r="K106" s="431"/>
      <c r="L106" s="431"/>
      <c r="M106" s="433"/>
      <c r="N106" s="430"/>
      <c r="O106" s="431"/>
      <c r="P106" s="431"/>
      <c r="Q106" s="434"/>
      <c r="R106" s="427"/>
      <c r="S106" s="431"/>
      <c r="T106" s="431"/>
      <c r="U106" s="435"/>
      <c r="V106" s="430"/>
      <c r="W106" s="431"/>
      <c r="X106" s="431"/>
      <c r="Y106" s="434"/>
      <c r="Z106" s="427"/>
      <c r="AA106" s="431"/>
      <c r="AB106" s="431"/>
      <c r="AC106" s="435"/>
      <c r="AD106" s="427"/>
      <c r="AE106" s="431"/>
      <c r="AF106" s="431"/>
      <c r="AG106" s="433"/>
      <c r="AH106" s="430"/>
      <c r="AI106" s="431"/>
      <c r="AJ106" s="434"/>
      <c r="AK106" s="427"/>
      <c r="AL106" s="431"/>
      <c r="AM106" s="435"/>
      <c r="AN106" s="430"/>
      <c r="AO106" s="431"/>
      <c r="AP106" s="434"/>
      <c r="AQ106" s="427"/>
      <c r="AR106" s="431"/>
      <c r="AS106" s="435"/>
      <c r="AT106" s="259"/>
      <c r="AU106" s="238"/>
      <c r="AV106" s="238"/>
      <c r="AW106" s="238"/>
      <c r="AX106" s="238"/>
      <c r="AY106" s="238"/>
      <c r="AZ106" s="238"/>
      <c r="BA106" s="238"/>
      <c r="BB106" s="238"/>
      <c r="BC106" s="238"/>
      <c r="BD106" s="238"/>
    </row>
    <row r="107" spans="1:57" s="351" customFormat="1" ht="25.5" customHeight="1" x14ac:dyDescent="0.25">
      <c r="A107" s="422"/>
      <c r="B107" s="402" t="s">
        <v>451</v>
      </c>
      <c r="C107" s="465"/>
      <c r="D107" s="466">
        <f>D105</f>
        <v>0</v>
      </c>
      <c r="E107" s="467">
        <f>E105</f>
        <v>8056</v>
      </c>
      <c r="F107" s="468"/>
      <c r="G107" s="469">
        <f>G105</f>
        <v>0</v>
      </c>
      <c r="H107" s="469">
        <f>H105</f>
        <v>1611.2</v>
      </c>
      <c r="I107" s="470"/>
      <c r="J107" s="471"/>
      <c r="K107" s="469">
        <f>K105</f>
        <v>0</v>
      </c>
      <c r="L107" s="469">
        <f>L105</f>
        <v>1611.2</v>
      </c>
      <c r="M107" s="472"/>
      <c r="N107" s="468"/>
      <c r="O107" s="469">
        <f>O105</f>
        <v>0</v>
      </c>
      <c r="P107" s="469">
        <f>P105</f>
        <v>1611.2</v>
      </c>
      <c r="Q107" s="470"/>
      <c r="R107" s="471"/>
      <c r="S107" s="469">
        <f>S105</f>
        <v>0</v>
      </c>
      <c r="T107" s="469">
        <f>T105</f>
        <v>1611.2</v>
      </c>
      <c r="U107" s="472"/>
      <c r="V107" s="468"/>
      <c r="W107" s="469">
        <f>W105</f>
        <v>0</v>
      </c>
      <c r="X107" s="469">
        <f>X105</f>
        <v>1611.2</v>
      </c>
      <c r="Y107" s="470"/>
      <c r="Z107" s="471"/>
      <c r="AA107" s="469">
        <f>AA105</f>
        <v>0</v>
      </c>
      <c r="AB107" s="469">
        <f>AB105</f>
        <v>0</v>
      </c>
      <c r="AC107" s="473"/>
      <c r="AD107" s="471"/>
      <c r="AE107" s="469">
        <f>AE105</f>
        <v>0</v>
      </c>
      <c r="AF107" s="469">
        <f>AF105</f>
        <v>8056</v>
      </c>
      <c r="AG107" s="472"/>
      <c r="AH107" s="468"/>
      <c r="AI107" s="469">
        <f>AI105</f>
        <v>0</v>
      </c>
      <c r="AJ107" s="474">
        <f>AJ105</f>
        <v>0</v>
      </c>
      <c r="AK107" s="471"/>
      <c r="AL107" s="469">
        <f>AL105</f>
        <v>0</v>
      </c>
      <c r="AM107" s="472">
        <f>AM105</f>
        <v>0</v>
      </c>
      <c r="AN107" s="468"/>
      <c r="AO107" s="469">
        <f>AO105</f>
        <v>0</v>
      </c>
      <c r="AP107" s="474">
        <f>AP105</f>
        <v>0</v>
      </c>
      <c r="AQ107" s="471"/>
      <c r="AR107" s="469">
        <f>AR105</f>
        <v>0</v>
      </c>
      <c r="AS107" s="472">
        <f>AS105</f>
        <v>0</v>
      </c>
      <c r="AT107" s="423"/>
      <c r="AU107" s="424"/>
      <c r="AV107" s="424"/>
      <c r="AW107" s="424"/>
      <c r="AX107" s="424"/>
      <c r="AY107" s="424"/>
      <c r="AZ107" s="424"/>
      <c r="BA107" s="424"/>
      <c r="BB107" s="424"/>
      <c r="BC107" s="424"/>
      <c r="BD107" s="424"/>
    </row>
    <row r="108" spans="1:57" ht="30.75" thickBot="1" x14ac:dyDescent="0.3">
      <c r="A108" s="407"/>
      <c r="B108" s="411" t="s">
        <v>463</v>
      </c>
      <c r="C108" s="475"/>
      <c r="D108" s="680">
        <f>D107+E107</f>
        <v>8056</v>
      </c>
      <c r="E108" s="691"/>
      <c r="F108" s="476"/>
      <c r="G108" s="680">
        <f>G107+H107</f>
        <v>1611.2</v>
      </c>
      <c r="H108" s="680"/>
      <c r="I108" s="477"/>
      <c r="J108" s="478"/>
      <c r="K108" s="680">
        <f>K107+L107</f>
        <v>1611.2</v>
      </c>
      <c r="L108" s="680"/>
      <c r="M108" s="479"/>
      <c r="N108" s="477"/>
      <c r="O108" s="680">
        <f>O107+P107</f>
        <v>1611.2</v>
      </c>
      <c r="P108" s="680"/>
      <c r="Q108" s="477"/>
      <c r="R108" s="480"/>
      <c r="S108" s="680">
        <f>S107+T107</f>
        <v>1611.2</v>
      </c>
      <c r="T108" s="680"/>
      <c r="U108" s="481"/>
      <c r="V108" s="477"/>
      <c r="W108" s="680">
        <f>W107+X107</f>
        <v>1611.2</v>
      </c>
      <c r="X108" s="680"/>
      <c r="Y108" s="477"/>
      <c r="Z108" s="480"/>
      <c r="AA108" s="680">
        <f>AA107+AB107</f>
        <v>0</v>
      </c>
      <c r="AB108" s="680"/>
      <c r="AC108" s="481"/>
      <c r="AD108" s="480"/>
      <c r="AE108" s="680">
        <f>AE107+AF107</f>
        <v>8056</v>
      </c>
      <c r="AF108" s="680"/>
      <c r="AG108" s="481"/>
      <c r="AH108" s="477"/>
      <c r="AI108" s="680">
        <f>AI107+AJ107</f>
        <v>0</v>
      </c>
      <c r="AJ108" s="680"/>
      <c r="AK108" s="478"/>
      <c r="AL108" s="680">
        <f>AL107+AM107</f>
        <v>0</v>
      </c>
      <c r="AM108" s="681"/>
      <c r="AN108" s="477"/>
      <c r="AO108" s="680">
        <f>AO107+AP107</f>
        <v>0</v>
      </c>
      <c r="AP108" s="680"/>
      <c r="AQ108" s="480"/>
      <c r="AR108" s="680">
        <f>AR107+AS107</f>
        <v>0</v>
      </c>
      <c r="AS108" s="681"/>
      <c r="BC108" s="238"/>
    </row>
    <row r="109" spans="1:57" ht="15" customHeight="1" x14ac:dyDescent="0.25">
      <c r="B109" s="222"/>
      <c r="C109" s="417"/>
      <c r="D109" s="238"/>
      <c r="E109" s="238"/>
      <c r="AR109" s="238"/>
    </row>
  </sheetData>
  <mergeCells count="100">
    <mergeCell ref="A83:A85"/>
    <mergeCell ref="B83:B85"/>
    <mergeCell ref="C83:C85"/>
    <mergeCell ref="R84:U84"/>
    <mergeCell ref="V84:Y84"/>
    <mergeCell ref="B88:AS88"/>
    <mergeCell ref="D83:D85"/>
    <mergeCell ref="E83:E85"/>
    <mergeCell ref="F83:AC83"/>
    <mergeCell ref="AD83:AG84"/>
    <mergeCell ref="AH83:AS83"/>
    <mergeCell ref="F84:I84"/>
    <mergeCell ref="J84:M84"/>
    <mergeCell ref="N84:Q84"/>
    <mergeCell ref="Z84:AC84"/>
    <mergeCell ref="AH84:AJ84"/>
    <mergeCell ref="AK84:AM84"/>
    <mergeCell ref="B2:AS2"/>
    <mergeCell ref="B3:AS3"/>
    <mergeCell ref="A33:A35"/>
    <mergeCell ref="B33:B35"/>
    <mergeCell ref="C33:C35"/>
    <mergeCell ref="D33:D35"/>
    <mergeCell ref="B10:AS10"/>
    <mergeCell ref="D30:E30"/>
    <mergeCell ref="G30:H30"/>
    <mergeCell ref="K30:L30"/>
    <mergeCell ref="O30:P30"/>
    <mergeCell ref="S30:T30"/>
    <mergeCell ref="AH34:AJ34"/>
    <mergeCell ref="AK34:AM34"/>
    <mergeCell ref="AN34:AP34"/>
    <mergeCell ref="AQ34:AS34"/>
    <mergeCell ref="B1:AS1"/>
    <mergeCell ref="AH33:AS33"/>
    <mergeCell ref="E33:E35"/>
    <mergeCell ref="F34:I34"/>
    <mergeCell ref="J34:M34"/>
    <mergeCell ref="N34:Q34"/>
    <mergeCell ref="R34:U34"/>
    <mergeCell ref="V34:Y34"/>
    <mergeCell ref="Z34:AC34"/>
    <mergeCell ref="F33:AC33"/>
    <mergeCell ref="Z6:AC6"/>
    <mergeCell ref="AH6:AJ6"/>
    <mergeCell ref="AK6:AM6"/>
    <mergeCell ref="AN6:AP6"/>
    <mergeCell ref="AQ6:AS6"/>
    <mergeCell ref="B9:AS9"/>
    <mergeCell ref="D108:E108"/>
    <mergeCell ref="G108:H108"/>
    <mergeCell ref="K108:L108"/>
    <mergeCell ref="O108:P108"/>
    <mergeCell ref="S108:T108"/>
    <mergeCell ref="W108:X108"/>
    <mergeCell ref="AA108:AB108"/>
    <mergeCell ref="AE108:AF108"/>
    <mergeCell ref="AI108:AJ108"/>
    <mergeCell ref="AL108:AM108"/>
    <mergeCell ref="AH5:AS5"/>
    <mergeCell ref="F6:I6"/>
    <mergeCell ref="J6:M6"/>
    <mergeCell ref="N6:Q6"/>
    <mergeCell ref="R6:U6"/>
    <mergeCell ref="V6:Y6"/>
    <mergeCell ref="W58:X58"/>
    <mergeCell ref="AA58:AB58"/>
    <mergeCell ref="AE58:AF58"/>
    <mergeCell ref="F5:AC5"/>
    <mergeCell ref="AD5:AG6"/>
    <mergeCell ref="W30:X30"/>
    <mergeCell ref="AA30:AB30"/>
    <mergeCell ref="AE30:AF30"/>
    <mergeCell ref="AD33:AG34"/>
    <mergeCell ref="G58:H58"/>
    <mergeCell ref="D58:E58"/>
    <mergeCell ref="K58:L58"/>
    <mergeCell ref="O58:P58"/>
    <mergeCell ref="S58:T58"/>
    <mergeCell ref="A5:A7"/>
    <mergeCell ref="B5:B7"/>
    <mergeCell ref="C5:C7"/>
    <mergeCell ref="D5:D7"/>
    <mergeCell ref="E5:E7"/>
    <mergeCell ref="AI30:AJ30"/>
    <mergeCell ref="AL30:AM30"/>
    <mergeCell ref="AO30:AP30"/>
    <mergeCell ref="AR30:AS30"/>
    <mergeCell ref="AO108:AP108"/>
    <mergeCell ref="AR108:AS108"/>
    <mergeCell ref="AI58:AJ58"/>
    <mergeCell ref="AL58:AM58"/>
    <mergeCell ref="AO58:AP58"/>
    <mergeCell ref="AR58:AS58"/>
    <mergeCell ref="AN84:AP84"/>
    <mergeCell ref="AQ84:AS84"/>
    <mergeCell ref="B87:AS87"/>
    <mergeCell ref="B82:E82"/>
    <mergeCell ref="B37:AS37"/>
    <mergeCell ref="B38:AS38"/>
  </mergeCells>
  <printOptions horizontalCentered="1" verticalCentered="1"/>
  <pageMargins left="0" right="0" top="0" bottom="0" header="0.31496062992125984" footer="0.31496062992125984"/>
  <pageSetup paperSize="8" scale="3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50"/>
  <sheetViews>
    <sheetView topLeftCell="A25" workbookViewId="0">
      <selection activeCell="F47" sqref="F47"/>
    </sheetView>
  </sheetViews>
  <sheetFormatPr defaultRowHeight="15" x14ac:dyDescent="0.25"/>
  <cols>
    <col min="1" max="1" width="0.7109375" customWidth="1"/>
    <col min="2" max="2" width="17" customWidth="1"/>
    <col min="5" max="5" width="24.5703125" customWidth="1"/>
    <col min="11" max="11" width="9.85546875" customWidth="1"/>
    <col min="12" max="12" width="8.140625" customWidth="1"/>
    <col min="13" max="13" width="9.85546875" customWidth="1"/>
    <col min="17" max="17" width="9.140625" customWidth="1"/>
    <col min="18" max="18" width="10.140625" customWidth="1"/>
    <col min="19" max="19" width="9.5703125" bestFit="1" customWidth="1"/>
    <col min="24" max="24" width="9.140625" customWidth="1"/>
  </cols>
  <sheetData>
    <row r="2" spans="2:49" ht="36.75" x14ac:dyDescent="0.25">
      <c r="B2" s="202" t="s">
        <v>384</v>
      </c>
      <c r="C2" s="203">
        <f>C4+C5+C6+C7+C8+C9</f>
        <v>78.349224000000007</v>
      </c>
      <c r="M2" s="262" t="s">
        <v>385</v>
      </c>
      <c r="N2" s="494"/>
      <c r="O2" s="495"/>
      <c r="P2" s="219"/>
      <c r="Q2" s="716" t="s">
        <v>519</v>
      </c>
      <c r="R2" s="717"/>
      <c r="S2" s="717"/>
      <c r="T2" s="717"/>
      <c r="U2" s="717"/>
      <c r="V2" s="717"/>
      <c r="W2" s="717"/>
      <c r="X2" s="717"/>
      <c r="Y2" s="717"/>
      <c r="Z2" s="717"/>
      <c r="AC2" s="495"/>
      <c r="AD2" s="219"/>
      <c r="AE2" s="200"/>
      <c r="AH2" s="220" t="s">
        <v>392</v>
      </c>
      <c r="AR2" s="495"/>
      <c r="AS2" s="219"/>
      <c r="AT2" s="200"/>
      <c r="AW2" s="220" t="s">
        <v>392</v>
      </c>
    </row>
    <row r="3" spans="2:49" x14ac:dyDescent="0.25">
      <c r="B3" s="202" t="s">
        <v>386</v>
      </c>
      <c r="C3" s="202"/>
      <c r="M3" s="202" t="s">
        <v>382</v>
      </c>
      <c r="N3" s="204"/>
    </row>
    <row r="4" spans="2:49" x14ac:dyDescent="0.25">
      <c r="B4" s="202" t="s">
        <v>383</v>
      </c>
      <c r="C4" s="204">
        <f>'Додаток 1'!N98/1000</f>
        <v>28.684035000000002</v>
      </c>
      <c r="M4" s="202"/>
      <c r="N4" s="204">
        <f>SUM(N5:N14)</f>
        <v>8.0559999999999992</v>
      </c>
      <c r="O4" s="204">
        <f>SUM(O5:O14)</f>
        <v>70.293000000000021</v>
      </c>
    </row>
    <row r="5" spans="2:49" ht="24.75" x14ac:dyDescent="0.25">
      <c r="B5" s="202" t="s">
        <v>371</v>
      </c>
      <c r="C5" s="204">
        <f>'Додаток 1'!Q98/1000</f>
        <v>14.236846000000002</v>
      </c>
      <c r="M5" s="202" t="s">
        <v>371</v>
      </c>
      <c r="N5" s="497">
        <f>'Дод 6.1.1'!H107/1000</f>
        <v>1.6112</v>
      </c>
      <c r="O5" s="496">
        <f>('Дод 6.1.1'!G57+'Дод 6.1.1'!H57)/1000</f>
        <v>7.2</v>
      </c>
      <c r="Y5" s="503" t="s">
        <v>525</v>
      </c>
      <c r="Z5" s="503" t="s">
        <v>526</v>
      </c>
    </row>
    <row r="6" spans="2:49" ht="15.75" x14ac:dyDescent="0.25">
      <c r="B6" s="202" t="s">
        <v>372</v>
      </c>
      <c r="C6" s="204">
        <f>'Додаток 1'!R98/1000</f>
        <v>4.2974350000000001</v>
      </c>
      <c r="M6" s="202" t="s">
        <v>372</v>
      </c>
      <c r="N6" s="497">
        <f>'Дод 6.1.1'!L107/1000</f>
        <v>1.6112</v>
      </c>
      <c r="O6" s="496">
        <f>('Дод 6.1.1'!K57+'Дод 6.1.1'!L57)/1000</f>
        <v>7.2</v>
      </c>
      <c r="Q6" s="714" t="s">
        <v>522</v>
      </c>
      <c r="R6" s="715"/>
      <c r="S6" s="715"/>
      <c r="T6" s="715"/>
      <c r="U6" s="715"/>
      <c r="V6" s="715"/>
      <c r="W6" s="715"/>
      <c r="X6" s="221" t="s">
        <v>393</v>
      </c>
      <c r="Y6" s="380">
        <f>S9/S8</f>
        <v>0.13485789320003883</v>
      </c>
      <c r="Z6" s="380">
        <f>S9/S10</f>
        <v>0.11883240536819153</v>
      </c>
    </row>
    <row r="7" spans="2:49" ht="19.5" customHeight="1" x14ac:dyDescent="0.25">
      <c r="B7" s="202" t="s">
        <v>373</v>
      </c>
      <c r="C7" s="204">
        <f>'Додаток 1'!S98/1000</f>
        <v>13.062538</v>
      </c>
      <c r="M7" s="202" t="s">
        <v>373</v>
      </c>
      <c r="N7" s="497">
        <f>'Дод 6.1.1'!P107/1000</f>
        <v>1.6112</v>
      </c>
      <c r="O7" s="496">
        <f>('Дод 6.1.1'!O57+'Дод 6.1.1'!P57)/1000</f>
        <v>7.2</v>
      </c>
      <c r="Q7" s="499" t="s">
        <v>523</v>
      </c>
      <c r="S7">
        <v>875.31</v>
      </c>
      <c r="T7" s="205" t="s">
        <v>388</v>
      </c>
      <c r="U7" s="207" t="s">
        <v>389</v>
      </c>
      <c r="V7" s="208">
        <v>60.994999999999997</v>
      </c>
      <c r="W7" s="205" t="s">
        <v>390</v>
      </c>
      <c r="X7" s="199">
        <f>S7*V7/1000</f>
        <v>53.389533449999995</v>
      </c>
      <c r="Y7" t="s">
        <v>520</v>
      </c>
    </row>
    <row r="8" spans="2:49" ht="23.25" customHeight="1" x14ac:dyDescent="0.25">
      <c r="B8" s="202" t="s">
        <v>374</v>
      </c>
      <c r="C8" s="204">
        <f>'Додаток 1'!T98/1000</f>
        <v>10.228357000000001</v>
      </c>
      <c r="M8" s="202" t="s">
        <v>374</v>
      </c>
      <c r="N8" s="497">
        <f>'Дод 6.1.1'!T107/1000</f>
        <v>1.6112</v>
      </c>
      <c r="O8" s="496">
        <f>('Дод 6.1.1'!S57+'Дод 6.1.1'!T57)/1000</f>
        <v>7.2</v>
      </c>
      <c r="Q8" s="718" t="s">
        <v>524</v>
      </c>
      <c r="R8" s="719"/>
      <c r="S8" s="210">
        <f>X7/V8*1000</f>
        <v>1012.6805912255079</v>
      </c>
      <c r="T8" s="211" t="s">
        <v>388</v>
      </c>
      <c r="U8" s="212" t="s">
        <v>389</v>
      </c>
      <c r="V8" s="213">
        <v>52.720999999999997</v>
      </c>
      <c r="W8" s="211" t="s">
        <v>390</v>
      </c>
      <c r="X8" s="199"/>
      <c r="AA8" s="500"/>
    </row>
    <row r="9" spans="2:49" x14ac:dyDescent="0.25">
      <c r="B9" s="202" t="s">
        <v>375</v>
      </c>
      <c r="C9" s="204">
        <f>'Додаток 1'!U98/1000</f>
        <v>7.8400129999999999</v>
      </c>
      <c r="M9" s="202" t="s">
        <v>375</v>
      </c>
      <c r="N9" s="497">
        <f>'Дод 6.1.1'!X107/1000</f>
        <v>1.6112</v>
      </c>
      <c r="O9" s="496">
        <f>('Дод 6.1.1'!W57+'Дод 6.1.1'!X57)/1000</f>
        <v>7.2</v>
      </c>
      <c r="R9" s="498" t="s">
        <v>521</v>
      </c>
      <c r="S9" s="215">
        <f>X9/V8*1000</f>
        <v>136.56797101724172</v>
      </c>
      <c r="T9" s="209" t="s">
        <v>388</v>
      </c>
      <c r="W9" s="216" t="s">
        <v>391</v>
      </c>
      <c r="X9" s="217">
        <f>'Дод 6.1.1'!C58/1000</f>
        <v>7.2</v>
      </c>
      <c r="Y9" s="218" t="s">
        <v>520</v>
      </c>
    </row>
    <row r="10" spans="2:49" x14ac:dyDescent="0.25">
      <c r="M10" s="202" t="s">
        <v>376</v>
      </c>
      <c r="N10" s="497">
        <f>'Дод 6.1.1'!AB107</f>
        <v>0</v>
      </c>
      <c r="O10" s="496">
        <f>('Дод 6.1.1'!AA57+'Дод 6.1.1'!AB57)/1000</f>
        <v>7.2</v>
      </c>
      <c r="S10" s="214">
        <f>X10/V10*1000</f>
        <v>1149.2485622427496</v>
      </c>
      <c r="T10" s="209" t="s">
        <v>388</v>
      </c>
      <c r="U10" s="207" t="s">
        <v>389</v>
      </c>
      <c r="V10" s="213">
        <v>52.720999999999997</v>
      </c>
      <c r="W10" s="205" t="s">
        <v>390</v>
      </c>
      <c r="X10" s="199">
        <f>X7+X9</f>
        <v>60.589533449999998</v>
      </c>
      <c r="Y10" t="s">
        <v>520</v>
      </c>
      <c r="Z10" s="501"/>
      <c r="AA10" s="500"/>
      <c r="AB10" s="500"/>
    </row>
    <row r="11" spans="2:49" x14ac:dyDescent="0.25">
      <c r="M11" s="202" t="s">
        <v>377</v>
      </c>
      <c r="N11" s="497">
        <v>0</v>
      </c>
      <c r="O11" s="496">
        <f>('Дод 6.1.1'!AI57+'Дод 6.1.1'!AJ57)/1000</f>
        <v>7.2</v>
      </c>
      <c r="V11" s="213"/>
      <c r="W11" s="211"/>
    </row>
    <row r="12" spans="2:49" x14ac:dyDescent="0.25">
      <c r="M12" s="202" t="s">
        <v>378</v>
      </c>
      <c r="N12" s="497">
        <v>0</v>
      </c>
      <c r="O12" s="496">
        <f>('Дод 6.1.1'!AL57+'Дод 6.1.1'!AM57)/1000</f>
        <v>7.2</v>
      </c>
      <c r="V12" s="502"/>
    </row>
    <row r="13" spans="2:49" x14ac:dyDescent="0.25">
      <c r="M13" s="202" t="s">
        <v>379</v>
      </c>
      <c r="N13" s="497">
        <v>0</v>
      </c>
      <c r="O13" s="497">
        <f>('Дод 6.1.1'!AO57+'Дод 6.1.1'!AP57)/1000</f>
        <v>6.908101561333333</v>
      </c>
    </row>
    <row r="14" spans="2:49" x14ac:dyDescent="0.25">
      <c r="M14" s="202" t="s">
        <v>380</v>
      </c>
      <c r="N14" s="497">
        <v>0</v>
      </c>
      <c r="O14" s="497">
        <f>('Дод 6.1.1'!AR57+'Дод 6.1.1'!AS57)/1000</f>
        <v>5.7848984386666666</v>
      </c>
    </row>
    <row r="15" spans="2:49" x14ac:dyDescent="0.25">
      <c r="M15" s="201"/>
      <c r="N15" s="201"/>
    </row>
    <row r="23" spans="1:26" x14ac:dyDescent="0.2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</row>
    <row r="24" spans="1:26" x14ac:dyDescent="0.25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</row>
    <row r="29" spans="1:26" x14ac:dyDescent="0.25">
      <c r="B29" s="202"/>
      <c r="C29" s="202" t="s">
        <v>384</v>
      </c>
      <c r="D29" s="202" t="s">
        <v>387</v>
      </c>
    </row>
    <row r="30" spans="1:26" x14ac:dyDescent="0.25">
      <c r="B30" s="202" t="s">
        <v>383</v>
      </c>
      <c r="C30" s="204">
        <f t="shared" ref="C30:C35" si="0">C4</f>
        <v>28.684035000000002</v>
      </c>
      <c r="D30" s="202"/>
    </row>
    <row r="31" spans="1:26" x14ac:dyDescent="0.25">
      <c r="B31" s="202" t="s">
        <v>371</v>
      </c>
      <c r="C31" s="204">
        <f t="shared" si="0"/>
        <v>14.236846000000002</v>
      </c>
      <c r="D31" s="204">
        <f>N5+O5</f>
        <v>8.8111999999999995</v>
      </c>
    </row>
    <row r="32" spans="1:26" x14ac:dyDescent="0.25">
      <c r="B32" s="202" t="s">
        <v>372</v>
      </c>
      <c r="C32" s="204">
        <f t="shared" si="0"/>
        <v>4.2974350000000001</v>
      </c>
      <c r="D32" s="204">
        <f t="shared" ref="D32:D40" si="1">N6+O6</f>
        <v>8.8111999999999995</v>
      </c>
    </row>
    <row r="33" spans="2:15" x14ac:dyDescent="0.25">
      <c r="B33" s="202" t="s">
        <v>373</v>
      </c>
      <c r="C33" s="204">
        <f t="shared" si="0"/>
        <v>13.062538</v>
      </c>
      <c r="D33" s="204">
        <f t="shared" si="1"/>
        <v>8.8111999999999995</v>
      </c>
    </row>
    <row r="34" spans="2:15" x14ac:dyDescent="0.25">
      <c r="B34" s="202" t="s">
        <v>374</v>
      </c>
      <c r="C34" s="204">
        <f t="shared" si="0"/>
        <v>10.228357000000001</v>
      </c>
      <c r="D34" s="204">
        <f t="shared" si="1"/>
        <v>8.8111999999999995</v>
      </c>
    </row>
    <row r="35" spans="2:15" x14ac:dyDescent="0.25">
      <c r="B35" s="202" t="s">
        <v>375</v>
      </c>
      <c r="C35" s="204">
        <f t="shared" si="0"/>
        <v>7.8400129999999999</v>
      </c>
      <c r="D35" s="204">
        <f t="shared" si="1"/>
        <v>8.8111999999999995</v>
      </c>
    </row>
    <row r="36" spans="2:15" x14ac:dyDescent="0.25">
      <c r="B36" s="202" t="s">
        <v>376</v>
      </c>
      <c r="C36" s="204"/>
      <c r="D36" s="204">
        <f t="shared" si="1"/>
        <v>7.2</v>
      </c>
    </row>
    <row r="37" spans="2:15" x14ac:dyDescent="0.25">
      <c r="B37" s="202" t="s">
        <v>377</v>
      </c>
      <c r="C37" s="204"/>
      <c r="D37" s="204">
        <f t="shared" si="1"/>
        <v>7.2</v>
      </c>
    </row>
    <row r="38" spans="2:15" x14ac:dyDescent="0.25">
      <c r="B38" s="202" t="s">
        <v>378</v>
      </c>
      <c r="C38" s="202"/>
      <c r="D38" s="204">
        <f t="shared" si="1"/>
        <v>7.2</v>
      </c>
    </row>
    <row r="39" spans="2:15" x14ac:dyDescent="0.25">
      <c r="B39" s="202" t="s">
        <v>379</v>
      </c>
      <c r="C39" s="202"/>
      <c r="D39" s="204">
        <f t="shared" si="1"/>
        <v>6.908101561333333</v>
      </c>
    </row>
    <row r="40" spans="2:15" x14ac:dyDescent="0.25">
      <c r="B40" s="202" t="s">
        <v>380</v>
      </c>
      <c r="C40" s="202"/>
      <c r="D40" s="204">
        <f t="shared" si="1"/>
        <v>5.7848984386666666</v>
      </c>
    </row>
    <row r="41" spans="2:15" x14ac:dyDescent="0.25">
      <c r="B41" s="202"/>
      <c r="C41" s="202"/>
      <c r="D41" s="202"/>
    </row>
    <row r="45" spans="2:15" x14ac:dyDescent="0.25">
      <c r="F45" s="720" t="s">
        <v>527</v>
      </c>
      <c r="G45" s="720"/>
      <c r="H45" s="720"/>
      <c r="I45" s="720"/>
      <c r="J45" s="720"/>
      <c r="K45" s="720"/>
      <c r="L45" s="720"/>
      <c r="M45" s="720"/>
      <c r="N45" s="720"/>
      <c r="O45" s="720"/>
    </row>
    <row r="46" spans="2:15" x14ac:dyDescent="0.25">
      <c r="F46" s="202" t="s">
        <v>371</v>
      </c>
      <c r="G46" s="202" t="s">
        <v>372</v>
      </c>
      <c r="H46" s="202" t="s">
        <v>373</v>
      </c>
      <c r="I46" s="202" t="s">
        <v>374</v>
      </c>
      <c r="J46" s="202" t="s">
        <v>375</v>
      </c>
      <c r="K46" s="202" t="s">
        <v>376</v>
      </c>
      <c r="L46" s="202" t="s">
        <v>377</v>
      </c>
      <c r="M46" s="202" t="s">
        <v>378</v>
      </c>
      <c r="N46" s="202" t="s">
        <v>379</v>
      </c>
      <c r="O46" s="202" t="s">
        <v>380</v>
      </c>
    </row>
    <row r="47" spans="2:15" x14ac:dyDescent="0.25">
      <c r="F47" s="500">
        <v>1012.68</v>
      </c>
      <c r="G47" s="500">
        <f>F47*1.08</f>
        <v>1093.6944000000001</v>
      </c>
      <c r="H47" s="500">
        <f>G47*1.08</f>
        <v>1181.1899520000002</v>
      </c>
      <c r="I47" s="500">
        <f t="shared" ref="I47:O47" si="2">H47*1.08</f>
        <v>1275.6851481600004</v>
      </c>
      <c r="J47" s="500">
        <f t="shared" si="2"/>
        <v>1377.7399600128006</v>
      </c>
      <c r="K47" s="500">
        <f t="shared" si="2"/>
        <v>1487.9591568138246</v>
      </c>
      <c r="L47" s="500">
        <f t="shared" si="2"/>
        <v>1606.9958893589308</v>
      </c>
      <c r="M47" s="500">
        <f t="shared" si="2"/>
        <v>1735.5555605076454</v>
      </c>
      <c r="N47" s="500">
        <f t="shared" si="2"/>
        <v>1874.4000053482571</v>
      </c>
      <c r="O47" s="500">
        <f t="shared" si="2"/>
        <v>2024.3520057761177</v>
      </c>
    </row>
    <row r="48" spans="2:15" x14ac:dyDescent="0.25">
      <c r="F48" s="500">
        <v>136.57</v>
      </c>
      <c r="G48" s="500">
        <v>136.57</v>
      </c>
      <c r="H48" s="500">
        <v>136.57</v>
      </c>
      <c r="I48" s="500">
        <v>136.57</v>
      </c>
      <c r="J48" s="500">
        <v>136.57</v>
      </c>
      <c r="K48" s="500">
        <v>136.57</v>
      </c>
      <c r="L48" s="500">
        <v>136.57</v>
      </c>
      <c r="M48" s="500">
        <v>136.57</v>
      </c>
      <c r="N48" s="500">
        <f>O13/V8*1000</f>
        <v>131.03130747393513</v>
      </c>
      <c r="O48" s="500">
        <f>O14/V8*1000</f>
        <v>109.72664476521059</v>
      </c>
    </row>
    <row r="49" spans="6:15" x14ac:dyDescent="0.25">
      <c r="F49" s="500">
        <f>F47+F48</f>
        <v>1149.25</v>
      </c>
      <c r="G49" s="500">
        <f>G47+G48</f>
        <v>1230.2644</v>
      </c>
      <c r="H49" s="500">
        <f>H47+H48</f>
        <v>1317.7599520000001</v>
      </c>
      <c r="I49" s="500">
        <f t="shared" ref="I49:O49" si="3">I47+I48</f>
        <v>1412.2551481600003</v>
      </c>
      <c r="J49" s="500">
        <f t="shared" si="3"/>
        <v>1514.3099600128005</v>
      </c>
      <c r="K49" s="500">
        <f t="shared" si="3"/>
        <v>1624.5291568138246</v>
      </c>
      <c r="L49" s="500">
        <f t="shared" si="3"/>
        <v>1743.5658893589307</v>
      </c>
      <c r="M49" s="500">
        <f t="shared" si="3"/>
        <v>1872.1255605076453</v>
      </c>
      <c r="N49" s="500">
        <f t="shared" si="3"/>
        <v>2005.4313128221922</v>
      </c>
      <c r="O49" s="500">
        <f t="shared" si="3"/>
        <v>2134.0786505413284</v>
      </c>
    </row>
    <row r="50" spans="6:15" x14ac:dyDescent="0.25">
      <c r="F50" s="504">
        <f>F48/F49</f>
        <v>0.11883402218838372</v>
      </c>
      <c r="G50" s="504">
        <f t="shared" ref="G50:H50" si="4">G48/G49</f>
        <v>0.11100865797628541</v>
      </c>
      <c r="H50" s="504">
        <f t="shared" si="4"/>
        <v>0.10363799551862538</v>
      </c>
      <c r="I50" s="504">
        <f t="shared" ref="I50" si="5">I48/I49</f>
        <v>9.670348886880277E-2</v>
      </c>
      <c r="J50" s="504">
        <f t="shared" ref="J50" si="6">J48/J49</f>
        <v>9.0186291846647809E-2</v>
      </c>
      <c r="K50" s="504">
        <f t="shared" ref="K50" si="7">K48/K49</f>
        <v>8.4067435433324927E-2</v>
      </c>
      <c r="L50" s="504">
        <f t="shared" ref="L50" si="8">L48/L49</f>
        <v>7.8327983377911609E-2</v>
      </c>
      <c r="M50" s="504">
        <f t="shared" ref="M50" si="9">M48/M49</f>
        <v>7.2949166915368485E-2</v>
      </c>
      <c r="N50" s="504">
        <f t="shared" ref="N50" si="10">N48/N49</f>
        <v>6.5338217587486508E-2</v>
      </c>
      <c r="O50" s="504">
        <f t="shared" ref="O50" si="11">O48/O49</f>
        <v>5.1416401517056287E-2</v>
      </c>
    </row>
  </sheetData>
  <mergeCells count="4">
    <mergeCell ref="Q6:W6"/>
    <mergeCell ref="Q2:Z2"/>
    <mergeCell ref="Q8:R8"/>
    <mergeCell ref="F45:O45"/>
  </mergeCells>
  <pageMargins left="0" right="0" top="0.15748031496062992" bottom="0.15748031496062992" header="0.31496062992125984" footer="0.31496062992125984"/>
  <pageSetup paperSize="8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topLeftCell="A55" workbookViewId="0"/>
  </sheetViews>
  <sheetFormatPr defaultRowHeight="15" x14ac:dyDescent="0.25"/>
  <cols>
    <col min="1" max="1" width="8.140625" style="1" customWidth="1"/>
    <col min="2" max="2" width="9.140625" style="1"/>
    <col min="3" max="3" width="55.28515625" style="1" customWidth="1"/>
    <col min="4" max="4" width="13.5703125" style="1" customWidth="1"/>
    <col min="5" max="5" width="10.140625" style="1" hidden="1" customWidth="1"/>
    <col min="6" max="15" width="10.140625" style="1" bestFit="1" customWidth="1"/>
    <col min="16" max="16" width="9.140625" style="1"/>
    <col min="17" max="17" width="28.7109375" style="1" customWidth="1"/>
    <col min="18" max="16384" width="9.140625" style="1"/>
  </cols>
  <sheetData>
    <row r="1" spans="1:17" ht="19.5" thickBot="1" x14ac:dyDescent="0.35">
      <c r="A1" s="264" t="s">
        <v>413</v>
      </c>
    </row>
    <row r="2" spans="1:17" ht="41.25" customHeight="1" x14ac:dyDescent="0.25">
      <c r="A2" s="2" t="s">
        <v>0</v>
      </c>
      <c r="B2" s="554" t="s">
        <v>1</v>
      </c>
      <c r="C2" s="556" t="s">
        <v>2</v>
      </c>
      <c r="D2" s="3" t="s">
        <v>3</v>
      </c>
      <c r="E2" s="3" t="s">
        <v>4</v>
      </c>
      <c r="F2" s="3">
        <v>2020</v>
      </c>
      <c r="G2" s="3">
        <v>2021</v>
      </c>
      <c r="H2" s="3">
        <v>2022</v>
      </c>
      <c r="I2" s="3">
        <v>2023</v>
      </c>
      <c r="J2" s="3">
        <v>2024</v>
      </c>
      <c r="K2" s="3">
        <v>2025</v>
      </c>
      <c r="L2" s="3">
        <v>2026</v>
      </c>
      <c r="M2" s="3">
        <v>2027</v>
      </c>
      <c r="N2" s="3">
        <v>2028</v>
      </c>
      <c r="O2" s="3">
        <v>2029</v>
      </c>
      <c r="P2" s="3">
        <v>2030</v>
      </c>
      <c r="Q2" s="554" t="s">
        <v>5</v>
      </c>
    </row>
    <row r="3" spans="1:17" ht="15.75" thickBot="1" x14ac:dyDescent="0.3">
      <c r="A3" s="4" t="s">
        <v>6</v>
      </c>
      <c r="B3" s="555"/>
      <c r="C3" s="557"/>
      <c r="D3" s="5" t="s">
        <v>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55"/>
    </row>
    <row r="4" spans="1:17" ht="15.75" thickBot="1" x14ac:dyDescent="0.3">
      <c r="A4" s="6">
        <v>1</v>
      </c>
      <c r="B4" s="7">
        <v>897</v>
      </c>
      <c r="C4" s="8" t="s">
        <v>8</v>
      </c>
      <c r="D4" s="9">
        <v>2270437</v>
      </c>
      <c r="E4" s="7"/>
      <c r="F4" s="7"/>
      <c r="G4" s="7" t="s">
        <v>9</v>
      </c>
      <c r="H4" s="7"/>
      <c r="I4" s="7"/>
      <c r="J4" s="7"/>
      <c r="K4" s="7"/>
      <c r="L4" s="7"/>
      <c r="M4" s="7"/>
      <c r="N4" s="7"/>
      <c r="O4" s="7"/>
      <c r="P4" s="7"/>
      <c r="Q4" s="8" t="s">
        <v>10</v>
      </c>
    </row>
    <row r="5" spans="1:17" ht="15.75" thickBot="1" x14ac:dyDescent="0.3">
      <c r="A5" s="6">
        <v>2</v>
      </c>
      <c r="B5" s="7">
        <v>7733</v>
      </c>
      <c r="C5" s="8" t="s">
        <v>11</v>
      </c>
      <c r="D5" s="9">
        <v>277967</v>
      </c>
      <c r="E5" s="7" t="s">
        <v>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 t="s">
        <v>9</v>
      </c>
    </row>
    <row r="6" spans="1:17" ht="15.75" thickBot="1" x14ac:dyDescent="0.3">
      <c r="A6" s="6">
        <v>3</v>
      </c>
      <c r="B6" s="7" t="s">
        <v>12</v>
      </c>
      <c r="C6" s="8" t="s">
        <v>13</v>
      </c>
      <c r="D6" s="9">
        <v>691609</v>
      </c>
      <c r="E6" s="7" t="s">
        <v>9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 t="s">
        <v>9</v>
      </c>
    </row>
    <row r="7" spans="1:17" ht="27.75" thickBot="1" x14ac:dyDescent="0.3">
      <c r="A7" s="6">
        <v>4</v>
      </c>
      <c r="B7" s="7">
        <v>7738</v>
      </c>
      <c r="C7" s="8" t="s">
        <v>14</v>
      </c>
      <c r="D7" s="9">
        <v>670047</v>
      </c>
      <c r="E7" s="7" t="s">
        <v>9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0" t="s">
        <v>9</v>
      </c>
    </row>
    <row r="8" spans="1:17" ht="15.75" thickBot="1" x14ac:dyDescent="0.3">
      <c r="A8" s="6">
        <v>5</v>
      </c>
      <c r="B8" s="7">
        <v>7735</v>
      </c>
      <c r="C8" s="8" t="s">
        <v>15</v>
      </c>
      <c r="D8" s="9">
        <v>284192</v>
      </c>
      <c r="E8" s="7" t="s">
        <v>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0" t="s">
        <v>9</v>
      </c>
    </row>
    <row r="9" spans="1:17" ht="15.75" thickBot="1" x14ac:dyDescent="0.3">
      <c r="A9" s="6">
        <v>6</v>
      </c>
      <c r="B9" s="7">
        <v>7734</v>
      </c>
      <c r="C9" s="8" t="s">
        <v>16</v>
      </c>
      <c r="D9" s="9">
        <v>768338</v>
      </c>
      <c r="E9" s="7"/>
      <c r="F9" s="7"/>
      <c r="G9" s="7"/>
      <c r="H9" s="7"/>
      <c r="I9" s="7" t="s">
        <v>9</v>
      </c>
      <c r="J9" s="7"/>
      <c r="K9" s="7" t="s">
        <v>9</v>
      </c>
      <c r="L9" s="7"/>
      <c r="M9" s="7"/>
      <c r="N9" s="7"/>
      <c r="O9" s="7"/>
      <c r="P9" s="7"/>
      <c r="Q9" s="10" t="s">
        <v>17</v>
      </c>
    </row>
    <row r="10" spans="1:17" ht="27.75" thickBot="1" x14ac:dyDescent="0.3">
      <c r="A10" s="6">
        <v>7</v>
      </c>
      <c r="B10" s="7">
        <v>7737</v>
      </c>
      <c r="C10" s="8" t="s">
        <v>18</v>
      </c>
      <c r="D10" s="9">
        <v>62665</v>
      </c>
      <c r="E10" s="7" t="s">
        <v>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0" t="s">
        <v>9</v>
      </c>
    </row>
    <row r="11" spans="1:17" ht="15.75" thickBot="1" x14ac:dyDescent="0.3">
      <c r="A11" s="6">
        <v>8</v>
      </c>
      <c r="B11" s="7" t="s">
        <v>19</v>
      </c>
      <c r="C11" s="8" t="s">
        <v>20</v>
      </c>
      <c r="D11" s="9">
        <v>25527</v>
      </c>
      <c r="E11" s="7" t="s">
        <v>9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0" t="s">
        <v>9</v>
      </c>
    </row>
    <row r="12" spans="1:17" ht="15.75" thickBot="1" x14ac:dyDescent="0.3">
      <c r="A12" s="6">
        <v>9</v>
      </c>
      <c r="B12" s="7">
        <v>893</v>
      </c>
      <c r="C12" s="8" t="s">
        <v>21</v>
      </c>
      <c r="D12" s="9">
        <v>382711</v>
      </c>
      <c r="E12" s="7" t="s">
        <v>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0" t="s">
        <v>9</v>
      </c>
    </row>
    <row r="13" spans="1:17" ht="27.75" thickBot="1" x14ac:dyDescent="0.3">
      <c r="A13" s="6">
        <v>10</v>
      </c>
      <c r="B13" s="7">
        <v>7741</v>
      </c>
      <c r="C13" s="8" t="s">
        <v>22</v>
      </c>
      <c r="D13" s="9">
        <v>1733417</v>
      </c>
      <c r="E13" s="7"/>
      <c r="F13" s="7"/>
      <c r="G13" s="7"/>
      <c r="H13" s="7"/>
      <c r="I13" s="7"/>
      <c r="J13" s="7" t="s">
        <v>9</v>
      </c>
      <c r="K13" s="7"/>
      <c r="L13" s="7"/>
      <c r="M13" s="7"/>
      <c r="N13" s="7"/>
      <c r="O13" s="7"/>
      <c r="P13" s="7"/>
      <c r="Q13" s="10" t="s">
        <v>23</v>
      </c>
    </row>
    <row r="14" spans="1:17" ht="15.75" thickBot="1" x14ac:dyDescent="0.3">
      <c r="A14" s="6">
        <v>11</v>
      </c>
      <c r="B14" s="7">
        <v>7746</v>
      </c>
      <c r="C14" s="8" t="s">
        <v>24</v>
      </c>
      <c r="D14" s="9">
        <v>1808223</v>
      </c>
      <c r="E14" s="7"/>
      <c r="F14" s="7"/>
      <c r="G14" s="7" t="s">
        <v>9</v>
      </c>
      <c r="H14" s="7"/>
      <c r="I14" s="7"/>
      <c r="J14" s="7"/>
      <c r="K14" s="7"/>
      <c r="L14" s="7"/>
      <c r="M14" s="7"/>
      <c r="N14" s="7"/>
      <c r="O14" s="7"/>
      <c r="P14" s="7"/>
      <c r="Q14" s="8" t="s">
        <v>25</v>
      </c>
    </row>
    <row r="15" spans="1:17" ht="15.75" thickBot="1" x14ac:dyDescent="0.3">
      <c r="A15" s="6">
        <v>12</v>
      </c>
      <c r="B15" s="7">
        <v>7952</v>
      </c>
      <c r="C15" s="8" t="s">
        <v>26</v>
      </c>
      <c r="D15" s="9">
        <v>106179</v>
      </c>
      <c r="E15" s="7"/>
      <c r="F15" s="7"/>
      <c r="G15" s="7"/>
      <c r="H15" s="7"/>
      <c r="I15" s="7"/>
      <c r="J15" s="7" t="s">
        <v>9</v>
      </c>
      <c r="K15" s="7"/>
      <c r="L15" s="7"/>
      <c r="M15" s="7"/>
      <c r="N15" s="7"/>
      <c r="O15" s="7"/>
      <c r="P15" s="7"/>
      <c r="Q15" s="10" t="s">
        <v>23</v>
      </c>
    </row>
    <row r="16" spans="1:17" ht="27.75" thickBot="1" x14ac:dyDescent="0.3">
      <c r="A16" s="6">
        <v>13</v>
      </c>
      <c r="B16" s="7">
        <v>7742</v>
      </c>
      <c r="C16" s="8" t="s">
        <v>27</v>
      </c>
      <c r="D16" s="9">
        <v>367873</v>
      </c>
      <c r="E16" s="7"/>
      <c r="F16" s="7" t="s">
        <v>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10" t="s">
        <v>28</v>
      </c>
    </row>
    <row r="17" spans="1:17" ht="27.75" thickBot="1" x14ac:dyDescent="0.3">
      <c r="A17" s="6">
        <v>14</v>
      </c>
      <c r="B17" s="7">
        <v>7736</v>
      </c>
      <c r="C17" s="8" t="s">
        <v>29</v>
      </c>
      <c r="D17" s="9">
        <v>85044</v>
      </c>
      <c r="E17" s="7"/>
      <c r="F17" s="7" t="s">
        <v>9</v>
      </c>
      <c r="G17" s="7" t="s">
        <v>9</v>
      </c>
      <c r="H17" s="7"/>
      <c r="I17" s="7"/>
      <c r="J17" s="7"/>
      <c r="K17" s="7"/>
      <c r="L17" s="7"/>
      <c r="M17" s="7"/>
      <c r="N17" s="7"/>
      <c r="O17" s="7"/>
      <c r="P17" s="7"/>
      <c r="Q17" s="10" t="s">
        <v>30</v>
      </c>
    </row>
    <row r="18" spans="1:17" ht="15.75" thickBot="1" x14ac:dyDescent="0.3">
      <c r="A18" s="6">
        <v>15</v>
      </c>
      <c r="B18" s="7">
        <v>7958</v>
      </c>
      <c r="C18" s="8" t="s">
        <v>31</v>
      </c>
      <c r="D18" s="9">
        <v>249334</v>
      </c>
      <c r="E18" s="7"/>
      <c r="F18" s="7"/>
      <c r="G18" s="7"/>
      <c r="H18" s="7"/>
      <c r="I18" s="7"/>
      <c r="J18" s="7" t="s">
        <v>9</v>
      </c>
      <c r="K18" s="7"/>
      <c r="L18" s="7"/>
      <c r="M18" s="7"/>
      <c r="N18" s="7"/>
      <c r="O18" s="7"/>
      <c r="P18" s="7"/>
      <c r="Q18" s="10" t="s">
        <v>23</v>
      </c>
    </row>
    <row r="19" spans="1:17" ht="27.75" thickBot="1" x14ac:dyDescent="0.3">
      <c r="A19" s="6">
        <v>16</v>
      </c>
      <c r="B19" s="7">
        <v>7750</v>
      </c>
      <c r="C19" s="8" t="s">
        <v>32</v>
      </c>
      <c r="D19" s="9">
        <v>622126</v>
      </c>
      <c r="E19" s="7"/>
      <c r="F19" s="7" t="s">
        <v>9</v>
      </c>
      <c r="G19" s="7" t="s">
        <v>9</v>
      </c>
      <c r="H19" s="7"/>
      <c r="I19" s="7"/>
      <c r="J19" s="7"/>
      <c r="K19" s="7"/>
      <c r="L19" s="7"/>
      <c r="M19" s="7"/>
      <c r="N19" s="7"/>
      <c r="O19" s="7"/>
      <c r="P19" s="7"/>
      <c r="Q19" s="10" t="s">
        <v>33</v>
      </c>
    </row>
    <row r="20" spans="1:17" ht="15.75" thickBot="1" x14ac:dyDescent="0.3">
      <c r="A20" s="6">
        <v>17</v>
      </c>
      <c r="B20" s="7">
        <v>7755</v>
      </c>
      <c r="C20" s="8" t="s">
        <v>34</v>
      </c>
      <c r="D20" s="9">
        <v>102290</v>
      </c>
      <c r="E20" s="7" t="s">
        <v>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0" t="s">
        <v>9</v>
      </c>
    </row>
    <row r="21" spans="1:17" ht="27.75" thickBot="1" x14ac:dyDescent="0.3">
      <c r="A21" s="6">
        <v>18</v>
      </c>
      <c r="B21" s="7">
        <v>7756</v>
      </c>
      <c r="C21" s="8" t="s">
        <v>35</v>
      </c>
      <c r="D21" s="9">
        <v>27351</v>
      </c>
      <c r="E21" s="7" t="s">
        <v>9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0" t="s">
        <v>9</v>
      </c>
    </row>
    <row r="22" spans="1:17" ht="15.75" thickBot="1" x14ac:dyDescent="0.3">
      <c r="A22" s="6">
        <v>19</v>
      </c>
      <c r="B22" s="7">
        <v>7933</v>
      </c>
      <c r="C22" s="8" t="s">
        <v>36</v>
      </c>
      <c r="D22" s="9">
        <v>34972</v>
      </c>
      <c r="E22" s="7"/>
      <c r="F22" s="7"/>
      <c r="G22" s="7"/>
      <c r="H22" s="7"/>
      <c r="I22" s="7"/>
      <c r="J22" s="7" t="s">
        <v>9</v>
      </c>
      <c r="K22" s="7"/>
      <c r="L22" s="7"/>
      <c r="M22" s="7"/>
      <c r="N22" s="7"/>
      <c r="O22" s="7"/>
      <c r="P22" s="7"/>
      <c r="Q22" s="10" t="s">
        <v>23</v>
      </c>
    </row>
    <row r="23" spans="1:17" ht="15.75" thickBot="1" x14ac:dyDescent="0.3">
      <c r="A23" s="6">
        <v>20</v>
      </c>
      <c r="B23" s="7">
        <v>7740</v>
      </c>
      <c r="C23" s="8" t="s">
        <v>37</v>
      </c>
      <c r="D23" s="9">
        <v>255825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0" t="s">
        <v>38</v>
      </c>
    </row>
    <row r="24" spans="1:17" ht="27.75" thickBot="1" x14ac:dyDescent="0.3">
      <c r="A24" s="6">
        <v>21</v>
      </c>
      <c r="B24" s="7">
        <v>7744</v>
      </c>
      <c r="C24" s="8" t="s">
        <v>39</v>
      </c>
      <c r="D24" s="9">
        <v>31335</v>
      </c>
      <c r="E24" s="7" t="s">
        <v>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0" t="s">
        <v>9</v>
      </c>
    </row>
    <row r="25" spans="1:17" ht="27.75" thickBot="1" x14ac:dyDescent="0.3">
      <c r="A25" s="6">
        <v>22</v>
      </c>
      <c r="B25" s="7">
        <v>7743</v>
      </c>
      <c r="C25" s="8" t="s">
        <v>40</v>
      </c>
      <c r="D25" s="9">
        <v>109911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0" t="s">
        <v>41</v>
      </c>
    </row>
    <row r="26" spans="1:17" ht="27.75" thickBot="1" x14ac:dyDescent="0.3">
      <c r="A26" s="6">
        <v>23</v>
      </c>
      <c r="B26" s="7">
        <v>7739</v>
      </c>
      <c r="C26" s="8" t="s">
        <v>42</v>
      </c>
      <c r="D26" s="9">
        <v>288242</v>
      </c>
      <c r="E26" s="7" t="s">
        <v>9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0" t="s">
        <v>9</v>
      </c>
    </row>
    <row r="27" spans="1:17" ht="15.75" thickBot="1" x14ac:dyDescent="0.3">
      <c r="A27" s="6">
        <v>24</v>
      </c>
      <c r="B27" s="7" t="s">
        <v>43</v>
      </c>
      <c r="C27" s="8" t="s">
        <v>44</v>
      </c>
      <c r="D27" s="9">
        <v>16410</v>
      </c>
      <c r="E27" s="7"/>
      <c r="F27" s="7"/>
      <c r="G27" s="7"/>
      <c r="H27" s="7"/>
      <c r="I27" s="7"/>
      <c r="J27" s="7" t="s">
        <v>9</v>
      </c>
      <c r="K27" s="7"/>
      <c r="L27" s="7"/>
      <c r="M27" s="7"/>
      <c r="N27" s="7"/>
      <c r="O27" s="7"/>
      <c r="P27" s="7"/>
      <c r="Q27" s="10" t="s">
        <v>23</v>
      </c>
    </row>
    <row r="28" spans="1:17" ht="15.75" thickBot="1" x14ac:dyDescent="0.3">
      <c r="A28" s="6">
        <v>25</v>
      </c>
      <c r="B28" s="7" t="s">
        <v>45</v>
      </c>
      <c r="C28" s="8" t="s">
        <v>46</v>
      </c>
      <c r="D28" s="9">
        <v>22883</v>
      </c>
      <c r="E28" s="7"/>
      <c r="F28" s="7"/>
      <c r="G28" s="7"/>
      <c r="H28" s="7"/>
      <c r="I28" s="7"/>
      <c r="J28" s="7" t="s">
        <v>9</v>
      </c>
      <c r="K28" s="7"/>
      <c r="L28" s="7"/>
      <c r="M28" s="7"/>
      <c r="N28" s="7"/>
      <c r="O28" s="7"/>
      <c r="P28" s="7"/>
      <c r="Q28" s="10" t="s">
        <v>23</v>
      </c>
    </row>
    <row r="29" spans="1:17" ht="15.75" thickBot="1" x14ac:dyDescent="0.3">
      <c r="A29" s="6">
        <v>26</v>
      </c>
      <c r="B29" s="7" t="s">
        <v>47</v>
      </c>
      <c r="C29" s="8" t="s">
        <v>48</v>
      </c>
      <c r="D29" s="9">
        <v>10879</v>
      </c>
      <c r="E29" s="7" t="s">
        <v>9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0" t="s">
        <v>9</v>
      </c>
    </row>
    <row r="30" spans="1:17" ht="15.75" thickBot="1" x14ac:dyDescent="0.3">
      <c r="A30" s="6">
        <v>27</v>
      </c>
      <c r="B30" s="7">
        <v>7751</v>
      </c>
      <c r="C30" s="8" t="s">
        <v>49</v>
      </c>
      <c r="D30" s="9">
        <v>115125</v>
      </c>
      <c r="E30" s="7" t="s">
        <v>9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0" t="s">
        <v>9</v>
      </c>
    </row>
    <row r="31" spans="1:17" ht="27.75" thickBot="1" x14ac:dyDescent="0.3">
      <c r="A31" s="6">
        <v>28</v>
      </c>
      <c r="B31" s="7">
        <v>7753</v>
      </c>
      <c r="C31" s="8" t="s">
        <v>50</v>
      </c>
      <c r="D31" s="9">
        <v>1501961</v>
      </c>
      <c r="E31" s="7" t="s">
        <v>9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0" t="s">
        <v>9</v>
      </c>
    </row>
    <row r="32" spans="1:17" ht="27.75" thickBot="1" x14ac:dyDescent="0.3">
      <c r="A32" s="6">
        <v>29</v>
      </c>
      <c r="B32" s="7">
        <v>7757</v>
      </c>
      <c r="C32" s="8" t="s">
        <v>51</v>
      </c>
      <c r="D32" s="9">
        <v>75808</v>
      </c>
      <c r="E32" s="7" t="s">
        <v>9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0" t="s">
        <v>9</v>
      </c>
    </row>
    <row r="33" spans="1:17" ht="15.75" thickBot="1" x14ac:dyDescent="0.3">
      <c r="A33" s="6">
        <v>30</v>
      </c>
      <c r="B33" s="7">
        <v>7754</v>
      </c>
      <c r="C33" s="8" t="s">
        <v>52</v>
      </c>
      <c r="D33" s="9">
        <v>30599</v>
      </c>
      <c r="E33" s="7" t="s">
        <v>9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10" t="s">
        <v>9</v>
      </c>
    </row>
    <row r="34" spans="1:17" ht="15.75" thickBot="1" x14ac:dyDescent="0.3">
      <c r="A34" s="6">
        <v>31</v>
      </c>
      <c r="B34" s="7">
        <v>7748</v>
      </c>
      <c r="C34" s="8" t="s">
        <v>53</v>
      </c>
      <c r="D34" s="9">
        <v>37379</v>
      </c>
      <c r="E34" s="7" t="s">
        <v>9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10" t="s">
        <v>9</v>
      </c>
    </row>
    <row r="35" spans="1:17" ht="15.75" thickBot="1" x14ac:dyDescent="0.3">
      <c r="A35" s="6">
        <v>32</v>
      </c>
      <c r="B35" s="7">
        <v>7745</v>
      </c>
      <c r="C35" s="8" t="s">
        <v>54</v>
      </c>
      <c r="D35" s="9">
        <v>8253</v>
      </c>
      <c r="E35" s="7" t="s">
        <v>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0" t="s">
        <v>9</v>
      </c>
    </row>
    <row r="36" spans="1:17" ht="15.75" thickBot="1" x14ac:dyDescent="0.3">
      <c r="A36" s="6">
        <v>33</v>
      </c>
      <c r="B36" s="7" t="s">
        <v>55</v>
      </c>
      <c r="C36" s="8" t="s">
        <v>56</v>
      </c>
      <c r="D36" s="9">
        <v>23248</v>
      </c>
      <c r="E36" s="7" t="s">
        <v>9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0" t="s">
        <v>9</v>
      </c>
    </row>
    <row r="37" spans="1:17" ht="15.75" thickBot="1" x14ac:dyDescent="0.3">
      <c r="A37" s="6">
        <v>34</v>
      </c>
      <c r="B37" s="7" t="s">
        <v>57</v>
      </c>
      <c r="C37" s="8" t="s">
        <v>58</v>
      </c>
      <c r="D37" s="9">
        <v>14255</v>
      </c>
      <c r="E37" s="7" t="s">
        <v>9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0" t="s">
        <v>9</v>
      </c>
    </row>
    <row r="38" spans="1:17" ht="15.75" thickBot="1" x14ac:dyDescent="0.3">
      <c r="A38" s="6">
        <v>35</v>
      </c>
      <c r="B38" s="7" t="s">
        <v>59</v>
      </c>
      <c r="C38" s="8" t="s">
        <v>60</v>
      </c>
      <c r="D38" s="9">
        <v>6752</v>
      </c>
      <c r="E38" s="7" t="s">
        <v>9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10" t="s">
        <v>9</v>
      </c>
    </row>
    <row r="39" spans="1:17" ht="15.75" thickBot="1" x14ac:dyDescent="0.3">
      <c r="A39" s="6">
        <v>36</v>
      </c>
      <c r="B39" s="7">
        <v>10069</v>
      </c>
      <c r="C39" s="8" t="s">
        <v>61</v>
      </c>
      <c r="D39" s="9">
        <v>160458</v>
      </c>
      <c r="E39" s="7" t="s">
        <v>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10" t="s">
        <v>9</v>
      </c>
    </row>
    <row r="40" spans="1:17" ht="15.75" thickBot="1" x14ac:dyDescent="0.3">
      <c r="A40" s="6">
        <v>37</v>
      </c>
      <c r="B40" s="7">
        <v>10068</v>
      </c>
      <c r="C40" s="8" t="s">
        <v>62</v>
      </c>
      <c r="D40" s="9">
        <v>46515</v>
      </c>
      <c r="E40" s="7" t="s">
        <v>9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10" t="s">
        <v>9</v>
      </c>
    </row>
    <row r="41" spans="1:17" ht="15.75" thickBot="1" x14ac:dyDescent="0.3">
      <c r="A41" s="6">
        <v>38</v>
      </c>
      <c r="B41" s="7">
        <v>10066</v>
      </c>
      <c r="C41" s="8" t="s">
        <v>63</v>
      </c>
      <c r="D41" s="9">
        <v>30010</v>
      </c>
      <c r="E41" s="7" t="s">
        <v>9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10" t="s">
        <v>9</v>
      </c>
    </row>
    <row r="42" spans="1:17" ht="15.75" thickBot="1" x14ac:dyDescent="0.3">
      <c r="A42" s="6">
        <v>39</v>
      </c>
      <c r="B42" s="7">
        <v>10067</v>
      </c>
      <c r="C42" s="8" t="s">
        <v>64</v>
      </c>
      <c r="D42" s="9">
        <v>18756</v>
      </c>
      <c r="E42" s="7" t="s">
        <v>9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10" t="s">
        <v>9</v>
      </c>
    </row>
    <row r="43" spans="1:17" ht="15.75" thickBot="1" x14ac:dyDescent="0.3">
      <c r="A43" s="6">
        <v>40</v>
      </c>
      <c r="B43" s="7">
        <v>7747</v>
      </c>
      <c r="C43" s="8" t="s">
        <v>65</v>
      </c>
      <c r="D43" s="9">
        <v>18234</v>
      </c>
      <c r="E43" s="7"/>
      <c r="F43" s="7"/>
      <c r="G43" s="7"/>
      <c r="H43" s="7"/>
      <c r="I43" s="7"/>
      <c r="J43" s="7" t="s">
        <v>9</v>
      </c>
      <c r="K43" s="7"/>
      <c r="L43" s="7"/>
      <c r="M43" s="7"/>
      <c r="N43" s="7"/>
      <c r="O43" s="7"/>
      <c r="P43" s="7"/>
      <c r="Q43" s="10" t="s">
        <v>23</v>
      </c>
    </row>
    <row r="44" spans="1:17" ht="27.75" thickBot="1" x14ac:dyDescent="0.3">
      <c r="A44" s="6">
        <v>41</v>
      </c>
      <c r="B44" s="7">
        <v>7749</v>
      </c>
      <c r="C44" s="8" t="s">
        <v>66</v>
      </c>
      <c r="D44" s="9">
        <v>28509</v>
      </c>
      <c r="E44" s="7" t="s">
        <v>9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10" t="s">
        <v>9</v>
      </c>
    </row>
    <row r="45" spans="1:17" ht="15.75" thickBot="1" x14ac:dyDescent="0.3">
      <c r="A45" s="6">
        <v>42</v>
      </c>
      <c r="B45" s="7">
        <v>7732</v>
      </c>
      <c r="C45" s="8" t="s">
        <v>67</v>
      </c>
      <c r="D45" s="9">
        <v>21007</v>
      </c>
      <c r="E45" s="7" t="s">
        <v>9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10" t="s">
        <v>9</v>
      </c>
    </row>
    <row r="46" spans="1:17" ht="27.75" thickBot="1" x14ac:dyDescent="0.3">
      <c r="A46" s="6">
        <v>43</v>
      </c>
      <c r="B46" s="7">
        <v>898</v>
      </c>
      <c r="C46" s="8" t="s">
        <v>68</v>
      </c>
      <c r="D46" s="9">
        <v>272439</v>
      </c>
      <c r="E46" s="7"/>
      <c r="F46" s="7" t="s">
        <v>9</v>
      </c>
      <c r="G46" s="7"/>
      <c r="H46" s="7"/>
      <c r="I46" s="7"/>
      <c r="J46" s="7" t="s">
        <v>9</v>
      </c>
      <c r="K46" s="7"/>
      <c r="L46" s="7"/>
      <c r="M46" s="7"/>
      <c r="N46" s="7"/>
      <c r="O46" s="7"/>
      <c r="P46" s="7"/>
      <c r="Q46" s="10" t="s">
        <v>69</v>
      </c>
    </row>
    <row r="47" spans="1:17" ht="15.75" thickBot="1" x14ac:dyDescent="0.3">
      <c r="A47" s="6">
        <v>44</v>
      </c>
      <c r="B47" s="7">
        <v>10059</v>
      </c>
      <c r="C47" s="8" t="s">
        <v>70</v>
      </c>
      <c r="D47" s="9">
        <v>70803</v>
      </c>
      <c r="E47" s="7"/>
      <c r="F47" s="7"/>
      <c r="G47" s="7"/>
      <c r="H47" s="7"/>
      <c r="I47" s="7" t="s">
        <v>9</v>
      </c>
      <c r="J47" s="7"/>
      <c r="K47" s="7"/>
      <c r="L47" s="7"/>
      <c r="M47" s="7"/>
      <c r="N47" s="7"/>
      <c r="O47" s="7"/>
      <c r="P47" s="7"/>
      <c r="Q47" s="10" t="s">
        <v>71</v>
      </c>
    </row>
    <row r="48" spans="1:17" ht="15.75" thickBot="1" x14ac:dyDescent="0.3">
      <c r="A48" s="6">
        <v>45</v>
      </c>
      <c r="B48" s="7">
        <v>10056</v>
      </c>
      <c r="C48" s="8" t="s">
        <v>72</v>
      </c>
      <c r="D48" s="9">
        <v>186218</v>
      </c>
      <c r="E48" s="7"/>
      <c r="F48" s="7"/>
      <c r="G48" s="7"/>
      <c r="H48" s="7"/>
      <c r="I48" s="7" t="s">
        <v>9</v>
      </c>
      <c r="J48" s="7"/>
      <c r="K48" s="7"/>
      <c r="L48" s="7"/>
      <c r="M48" s="7"/>
      <c r="N48" s="7"/>
      <c r="O48" s="7"/>
      <c r="P48" s="7"/>
      <c r="Q48" s="10" t="s">
        <v>71</v>
      </c>
    </row>
    <row r="49" spans="1:17" ht="15.75" thickBot="1" x14ac:dyDescent="0.3">
      <c r="A49" s="6">
        <v>46</v>
      </c>
      <c r="B49" s="7">
        <v>10057</v>
      </c>
      <c r="C49" s="8" t="s">
        <v>73</v>
      </c>
      <c r="D49" s="9">
        <v>81577</v>
      </c>
      <c r="E49" s="7"/>
      <c r="F49" s="7"/>
      <c r="G49" s="7"/>
      <c r="H49" s="7"/>
      <c r="I49" s="7" t="s">
        <v>9</v>
      </c>
      <c r="J49" s="7"/>
      <c r="K49" s="7"/>
      <c r="L49" s="7"/>
      <c r="M49" s="7"/>
      <c r="N49" s="7"/>
      <c r="O49" s="7"/>
      <c r="P49" s="7"/>
      <c r="Q49" s="10" t="s">
        <v>71</v>
      </c>
    </row>
    <row r="50" spans="1:17" ht="15.75" thickBot="1" x14ac:dyDescent="0.3">
      <c r="A50" s="6">
        <v>47</v>
      </c>
      <c r="B50" s="7">
        <v>10055</v>
      </c>
      <c r="C50" s="8" t="s">
        <v>74</v>
      </c>
      <c r="D50" s="9">
        <v>347626</v>
      </c>
      <c r="E50" s="7"/>
      <c r="F50" s="7"/>
      <c r="G50" s="7" t="s">
        <v>9</v>
      </c>
      <c r="H50" s="7"/>
      <c r="I50" s="7" t="s">
        <v>9</v>
      </c>
      <c r="J50" s="7"/>
      <c r="K50" s="7"/>
      <c r="L50" s="7"/>
      <c r="M50" s="7"/>
      <c r="N50" s="7"/>
      <c r="O50" s="7"/>
      <c r="P50" s="7"/>
      <c r="Q50" s="10" t="s">
        <v>75</v>
      </c>
    </row>
    <row r="51" spans="1:17" ht="15.75" thickBot="1" x14ac:dyDescent="0.3">
      <c r="A51" s="6">
        <v>48</v>
      </c>
      <c r="B51" s="7">
        <v>10061</v>
      </c>
      <c r="C51" s="8" t="s">
        <v>76</v>
      </c>
      <c r="D51" s="9">
        <v>85903</v>
      </c>
      <c r="E51" s="7" t="s">
        <v>9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10" t="s">
        <v>9</v>
      </c>
    </row>
    <row r="52" spans="1:17" ht="15.75" thickBot="1" x14ac:dyDescent="0.3">
      <c r="A52" s="6">
        <v>49</v>
      </c>
      <c r="B52" s="7">
        <v>10058</v>
      </c>
      <c r="C52" s="8" t="s">
        <v>77</v>
      </c>
      <c r="D52" s="9">
        <v>337174</v>
      </c>
      <c r="E52" s="7"/>
      <c r="F52" s="7"/>
      <c r="G52" s="7"/>
      <c r="H52" s="7"/>
      <c r="I52" s="7" t="s">
        <v>9</v>
      </c>
      <c r="J52" s="7"/>
      <c r="K52" s="7"/>
      <c r="L52" s="7"/>
      <c r="M52" s="7"/>
      <c r="N52" s="7"/>
      <c r="O52" s="7"/>
      <c r="P52" s="7"/>
      <c r="Q52" s="10" t="s">
        <v>71</v>
      </c>
    </row>
    <row r="53" spans="1:17" ht="15.75" thickBot="1" x14ac:dyDescent="0.3">
      <c r="A53" s="6">
        <v>50</v>
      </c>
      <c r="B53" s="7">
        <v>10060</v>
      </c>
      <c r="C53" s="8" t="s">
        <v>78</v>
      </c>
      <c r="D53" s="9">
        <v>252529</v>
      </c>
      <c r="E53" s="7"/>
      <c r="F53" s="7"/>
      <c r="G53" s="7" t="s">
        <v>9</v>
      </c>
      <c r="H53" s="7"/>
      <c r="I53" s="7" t="s">
        <v>9</v>
      </c>
      <c r="J53" s="7"/>
      <c r="K53" s="7"/>
      <c r="L53" s="7"/>
      <c r="M53" s="7"/>
      <c r="N53" s="7"/>
      <c r="O53" s="7"/>
      <c r="P53" s="7"/>
      <c r="Q53" s="10" t="s">
        <v>75</v>
      </c>
    </row>
    <row r="54" spans="1:17" ht="15.75" thickBot="1" x14ac:dyDescent="0.3">
      <c r="A54" s="6">
        <v>51</v>
      </c>
      <c r="B54" s="7">
        <v>10062</v>
      </c>
      <c r="C54" s="8" t="s">
        <v>79</v>
      </c>
      <c r="D54" s="9">
        <v>309577</v>
      </c>
      <c r="E54" s="7"/>
      <c r="F54" s="7"/>
      <c r="G54" s="7"/>
      <c r="H54" s="7"/>
      <c r="I54" s="7" t="s">
        <v>9</v>
      </c>
      <c r="J54" s="7"/>
      <c r="K54" s="7"/>
      <c r="L54" s="7"/>
      <c r="M54" s="7"/>
      <c r="N54" s="7"/>
      <c r="O54" s="7"/>
      <c r="P54" s="7"/>
      <c r="Q54" s="10" t="s">
        <v>71</v>
      </c>
    </row>
    <row r="55" spans="1:17" ht="15.75" thickBot="1" x14ac:dyDescent="0.3">
      <c r="A55" s="6">
        <v>52</v>
      </c>
      <c r="B55" s="7">
        <v>10065</v>
      </c>
      <c r="C55" s="8" t="s">
        <v>80</v>
      </c>
      <c r="D55" s="9">
        <v>326101</v>
      </c>
      <c r="E55" s="7"/>
      <c r="F55" s="7"/>
      <c r="G55" s="7"/>
      <c r="H55" s="7"/>
      <c r="I55" s="7" t="s">
        <v>9</v>
      </c>
      <c r="J55" s="7"/>
      <c r="K55" s="7"/>
      <c r="L55" s="7"/>
      <c r="M55" s="7"/>
      <c r="N55" s="7"/>
      <c r="O55" s="7"/>
      <c r="P55" s="7"/>
      <c r="Q55" s="10" t="s">
        <v>71</v>
      </c>
    </row>
    <row r="56" spans="1:17" ht="15.75" thickBot="1" x14ac:dyDescent="0.3">
      <c r="A56" s="6">
        <v>53</v>
      </c>
      <c r="B56" s="7">
        <v>10063</v>
      </c>
      <c r="C56" s="8" t="s">
        <v>81</v>
      </c>
      <c r="D56" s="9">
        <v>121644</v>
      </c>
      <c r="E56" s="7"/>
      <c r="F56" s="7"/>
      <c r="G56" s="7"/>
      <c r="H56" s="7"/>
      <c r="I56" s="7" t="s">
        <v>9</v>
      </c>
      <c r="J56" s="7"/>
      <c r="K56" s="7"/>
      <c r="L56" s="7"/>
      <c r="M56" s="7"/>
      <c r="N56" s="7"/>
      <c r="O56" s="7"/>
      <c r="P56" s="7"/>
      <c r="Q56" s="10" t="s">
        <v>71</v>
      </c>
    </row>
    <row r="57" spans="1:17" ht="27.75" thickBot="1" x14ac:dyDescent="0.3">
      <c r="A57" s="6">
        <v>54</v>
      </c>
      <c r="B57" s="7">
        <v>7752</v>
      </c>
      <c r="C57" s="8" t="s">
        <v>82</v>
      </c>
      <c r="D57" s="9">
        <v>419773</v>
      </c>
      <c r="E57" s="7"/>
      <c r="F57" s="7"/>
      <c r="G57" s="7" t="s">
        <v>9</v>
      </c>
      <c r="H57" s="7"/>
      <c r="I57" s="7"/>
      <c r="J57" s="7"/>
      <c r="K57" s="7"/>
      <c r="L57" s="7"/>
      <c r="M57" s="7"/>
      <c r="N57" s="7"/>
      <c r="O57" s="7"/>
      <c r="P57" s="7"/>
      <c r="Q57" s="10" t="s">
        <v>83</v>
      </c>
    </row>
    <row r="58" spans="1:17" ht="15.75" thickBot="1" x14ac:dyDescent="0.3">
      <c r="A58" s="6">
        <v>55</v>
      </c>
      <c r="B58" s="7">
        <v>10054</v>
      </c>
      <c r="C58" s="8" t="s">
        <v>84</v>
      </c>
      <c r="D58" s="9">
        <v>21881</v>
      </c>
      <c r="E58" s="7" t="s">
        <v>9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 t="s">
        <v>9</v>
      </c>
    </row>
    <row r="59" spans="1:17" ht="15.75" thickBot="1" x14ac:dyDescent="0.3">
      <c r="A59" s="6">
        <v>56</v>
      </c>
      <c r="B59" s="7">
        <v>10064</v>
      </c>
      <c r="C59" s="8" t="s">
        <v>85</v>
      </c>
      <c r="D59" s="9">
        <v>11254</v>
      </c>
      <c r="E59" s="7" t="s">
        <v>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10" t="s">
        <v>9</v>
      </c>
    </row>
    <row r="60" spans="1:17" ht="15.75" thickBot="1" x14ac:dyDescent="0.3">
      <c r="A60" s="6">
        <v>57</v>
      </c>
      <c r="B60" s="7">
        <v>900</v>
      </c>
      <c r="C60" s="8" t="s">
        <v>86</v>
      </c>
      <c r="D60" s="9">
        <v>217515</v>
      </c>
      <c r="E60" s="7" t="s">
        <v>9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10" t="s">
        <v>9</v>
      </c>
    </row>
    <row r="61" spans="1:17" ht="15.75" thickBot="1" x14ac:dyDescent="0.3">
      <c r="A61" s="6">
        <v>58</v>
      </c>
      <c r="B61" s="7">
        <v>901</v>
      </c>
      <c r="C61" s="8" t="s">
        <v>87</v>
      </c>
      <c r="D61" s="9">
        <v>98282</v>
      </c>
      <c r="E61" s="7" t="s">
        <v>9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10" t="s">
        <v>9</v>
      </c>
    </row>
    <row r="62" spans="1:17" ht="27.75" thickBot="1" x14ac:dyDescent="0.3">
      <c r="A62" s="11">
        <v>59</v>
      </c>
      <c r="B62" s="10">
        <v>7758</v>
      </c>
      <c r="C62" s="8" t="s">
        <v>88</v>
      </c>
      <c r="D62" s="12">
        <v>481381</v>
      </c>
      <c r="E62" s="10"/>
      <c r="F62" s="10"/>
      <c r="G62" s="10" t="s">
        <v>9</v>
      </c>
      <c r="H62" s="10"/>
      <c r="I62" s="10"/>
      <c r="J62" s="10"/>
      <c r="K62" s="10"/>
      <c r="L62" s="10"/>
      <c r="M62" s="10"/>
      <c r="N62" s="10"/>
      <c r="O62" s="10"/>
      <c r="P62" s="10"/>
      <c r="Q62" s="10" t="s">
        <v>83</v>
      </c>
    </row>
    <row r="63" spans="1:17" ht="27.75" thickBot="1" x14ac:dyDescent="0.3">
      <c r="A63" s="11">
        <v>60</v>
      </c>
      <c r="B63" s="10" t="s">
        <v>89</v>
      </c>
      <c r="C63" s="8" t="s">
        <v>90</v>
      </c>
      <c r="D63" s="12">
        <v>96232</v>
      </c>
      <c r="E63" s="10"/>
      <c r="F63" s="10"/>
      <c r="G63" s="10"/>
      <c r="H63" s="10" t="s">
        <v>9</v>
      </c>
      <c r="I63" s="10"/>
      <c r="J63" s="10"/>
      <c r="K63" s="10"/>
      <c r="L63" s="10"/>
      <c r="M63" s="10"/>
      <c r="N63" s="10"/>
      <c r="O63" s="10"/>
      <c r="P63" s="10"/>
      <c r="Q63" s="10" t="s">
        <v>91</v>
      </c>
    </row>
    <row r="64" spans="1:17" ht="33" customHeight="1" thickBot="1" x14ac:dyDescent="0.3">
      <c r="A64" s="11">
        <v>61</v>
      </c>
      <c r="B64" s="10" t="s">
        <v>92</v>
      </c>
      <c r="C64" s="8" t="s">
        <v>93</v>
      </c>
      <c r="D64" s="12">
        <v>82332</v>
      </c>
      <c r="E64" s="10"/>
      <c r="F64" s="10"/>
      <c r="G64" s="10"/>
      <c r="H64" s="10" t="s">
        <v>9</v>
      </c>
      <c r="I64" s="10"/>
      <c r="J64" s="10"/>
      <c r="K64" s="10"/>
      <c r="L64" s="10"/>
      <c r="M64" s="10"/>
      <c r="N64" s="10"/>
      <c r="O64" s="10"/>
      <c r="P64" s="10"/>
      <c r="Q64" s="10" t="s">
        <v>91</v>
      </c>
    </row>
    <row r="65" spans="1:21" ht="15.75" thickBot="1" x14ac:dyDescent="0.3">
      <c r="A65" s="11">
        <v>62</v>
      </c>
      <c r="B65" s="10">
        <v>10187</v>
      </c>
      <c r="C65" s="8" t="s">
        <v>94</v>
      </c>
      <c r="D65" s="12">
        <v>8941</v>
      </c>
      <c r="E65" s="7" t="s">
        <v>9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 t="s">
        <v>9</v>
      </c>
    </row>
    <row r="66" spans="1:21" ht="15.75" thickBot="1" x14ac:dyDescent="0.3">
      <c r="A66" s="11">
        <v>63</v>
      </c>
      <c r="B66" s="10">
        <v>10188</v>
      </c>
      <c r="C66" s="8" t="s">
        <v>94</v>
      </c>
      <c r="D66" s="12">
        <v>8941</v>
      </c>
      <c r="E66" s="7" t="s">
        <v>9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0" t="s">
        <v>9</v>
      </c>
    </row>
    <row r="67" spans="1:21" ht="15.75" thickBot="1" x14ac:dyDescent="0.3">
      <c r="A67" s="11">
        <v>64</v>
      </c>
      <c r="B67" s="10">
        <v>10189</v>
      </c>
      <c r="C67" s="8" t="s">
        <v>95</v>
      </c>
      <c r="D67" s="12">
        <v>8941</v>
      </c>
      <c r="E67" s="7" t="s">
        <v>9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0" t="s">
        <v>9</v>
      </c>
    </row>
    <row r="68" spans="1:21" ht="15.75" thickBot="1" x14ac:dyDescent="0.3">
      <c r="A68" s="11">
        <v>65</v>
      </c>
      <c r="B68" s="10">
        <v>10190</v>
      </c>
      <c r="C68" s="8" t="s">
        <v>95</v>
      </c>
      <c r="D68" s="12">
        <v>8941</v>
      </c>
      <c r="E68" s="7" t="s">
        <v>9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0" t="s">
        <v>9</v>
      </c>
    </row>
    <row r="69" spans="1:21" ht="15.75" thickBot="1" x14ac:dyDescent="0.3">
      <c r="A69" s="13"/>
      <c r="B69" s="10"/>
      <c r="C69" s="8" t="s">
        <v>96</v>
      </c>
      <c r="D69" s="12">
        <f>SUM(D4:D68)</f>
        <v>17298661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21" ht="24" customHeight="1" x14ac:dyDescent="0.25">
      <c r="C70" s="298" t="s">
        <v>423</v>
      </c>
      <c r="D70" s="14">
        <f>SUBTOTAL(9,D4:D68)</f>
        <v>17298661</v>
      </c>
      <c r="E70" s="14">
        <v>4592783</v>
      </c>
      <c r="F70" s="14">
        <v>1347482</v>
      </c>
      <c r="G70" s="14">
        <v>6287139</v>
      </c>
      <c r="H70" s="14">
        <v>178564</v>
      </c>
      <c r="I70" s="14">
        <v>2801587</v>
      </c>
      <c r="J70" s="14">
        <v>2453868</v>
      </c>
      <c r="K70" s="14">
        <v>768338</v>
      </c>
      <c r="L70" s="14"/>
      <c r="M70" s="14"/>
      <c r="N70" s="14"/>
      <c r="O70" s="14"/>
      <c r="P70" s="14"/>
    </row>
    <row r="71" spans="1:21" ht="15" customHeight="1" x14ac:dyDescent="0.25">
      <c r="D71" s="14">
        <f>D70-D62-D65-D66-D67-D68</f>
        <v>16781516</v>
      </c>
      <c r="E71" s="14">
        <f>E70-D65-D66-D67-D68</f>
        <v>4557019</v>
      </c>
      <c r="F71" s="14">
        <f>F70</f>
        <v>1347482</v>
      </c>
      <c r="G71" s="14">
        <f>G70-D62</f>
        <v>5805758</v>
      </c>
      <c r="H71" s="14">
        <f>H70</f>
        <v>178564</v>
      </c>
      <c r="I71" s="14">
        <f t="shared" ref="I71:K71" si="0">I70</f>
        <v>2801587</v>
      </c>
      <c r="J71" s="14">
        <f t="shared" si="0"/>
        <v>2453868</v>
      </c>
      <c r="K71" s="14">
        <f t="shared" si="0"/>
        <v>768338</v>
      </c>
      <c r="L71" s="14"/>
      <c r="M71" s="14"/>
      <c r="N71" s="14"/>
      <c r="O71" s="14"/>
      <c r="P71" s="14"/>
    </row>
    <row r="72" spans="1:21" ht="19.5" customHeight="1" x14ac:dyDescent="0.25">
      <c r="D72" s="14">
        <f>D70-D71</f>
        <v>517145</v>
      </c>
      <c r="E72" s="14">
        <f>E70-E71</f>
        <v>35764</v>
      </c>
      <c r="F72" s="14">
        <f>F70-F71</f>
        <v>0</v>
      </c>
      <c r="G72" s="14">
        <f t="shared" ref="G72:K72" si="1">G70-G71</f>
        <v>481381</v>
      </c>
      <c r="H72" s="14">
        <f t="shared" si="1"/>
        <v>0</v>
      </c>
      <c r="I72" s="14">
        <f t="shared" si="1"/>
        <v>0</v>
      </c>
      <c r="J72" s="14">
        <f t="shared" si="1"/>
        <v>0</v>
      </c>
      <c r="K72" s="14">
        <f t="shared" si="1"/>
        <v>0</v>
      </c>
      <c r="L72" s="14"/>
      <c r="M72" s="14"/>
      <c r="N72" s="14"/>
      <c r="O72" s="14"/>
      <c r="P72" s="14"/>
    </row>
    <row r="73" spans="1:21" ht="15.75" thickBot="1" x14ac:dyDescent="0.3"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21" ht="15.75" x14ac:dyDescent="0.25">
      <c r="C74" s="15"/>
      <c r="D74" s="16" t="s">
        <v>97</v>
      </c>
      <c r="E74" s="16"/>
      <c r="F74" s="16">
        <v>2020</v>
      </c>
      <c r="G74" s="16">
        <v>2021</v>
      </c>
      <c r="H74" s="16">
        <v>2022</v>
      </c>
      <c r="I74" s="16">
        <v>2023</v>
      </c>
      <c r="J74" s="16">
        <v>2024</v>
      </c>
      <c r="K74" s="16">
        <v>2025</v>
      </c>
      <c r="L74" s="16">
        <v>2026</v>
      </c>
      <c r="M74" s="16">
        <v>2027</v>
      </c>
      <c r="N74" s="16">
        <v>2028</v>
      </c>
      <c r="O74" s="16">
        <v>2029</v>
      </c>
      <c r="P74" s="17">
        <v>2030</v>
      </c>
      <c r="Q74" s="16">
        <v>2031</v>
      </c>
      <c r="R74" s="17">
        <v>2032</v>
      </c>
      <c r="S74" s="16">
        <v>2033</v>
      </c>
      <c r="T74" s="17">
        <v>2034</v>
      </c>
      <c r="U74" s="16">
        <v>2035</v>
      </c>
    </row>
    <row r="75" spans="1:21" ht="15.75" x14ac:dyDescent="0.25">
      <c r="C75" s="18" t="s">
        <v>98</v>
      </c>
      <c r="D75" s="19">
        <f>SUM(E75:P75)</f>
        <v>16267048.35</v>
      </c>
      <c r="E75" s="19"/>
      <c r="F75" s="19">
        <f>($D$71-F71)*0.1/12*8+F71*0.05</f>
        <v>1096309.7000000002</v>
      </c>
      <c r="G75" s="19">
        <f>($D$71-G71)*0.1+G71*0.05</f>
        <v>1387863.7000000002</v>
      </c>
      <c r="H75" s="19">
        <f t="shared" ref="H75:O75" si="2">($D$71-H71)*0.1+H71*0.05</f>
        <v>1669223.4000000001</v>
      </c>
      <c r="I75" s="19">
        <f t="shared" si="2"/>
        <v>1538072.2500000002</v>
      </c>
      <c r="J75" s="19">
        <f t="shared" si="2"/>
        <v>1555458.2</v>
      </c>
      <c r="K75" s="19">
        <f t="shared" si="2"/>
        <v>1639734.7</v>
      </c>
      <c r="L75" s="19">
        <f t="shared" si="2"/>
        <v>1678151.6</v>
      </c>
      <c r="M75" s="19">
        <f t="shared" si="2"/>
        <v>1678151.6</v>
      </c>
      <c r="N75" s="19">
        <f t="shared" si="2"/>
        <v>1678151.6</v>
      </c>
      <c r="O75" s="19">
        <f t="shared" si="2"/>
        <v>1678151.6</v>
      </c>
      <c r="P75" s="20">
        <v>667780</v>
      </c>
      <c r="Q75" s="14">
        <f>D71-D75</f>
        <v>514467.65000000037</v>
      </c>
    </row>
    <row r="76" spans="1:21" ht="16.5" thickBot="1" x14ac:dyDescent="0.3">
      <c r="C76" s="21" t="s">
        <v>99</v>
      </c>
      <c r="D76" s="22">
        <f>SUM(E76:P76)</f>
        <v>482668.56666666665</v>
      </c>
      <c r="E76" s="22"/>
      <c r="F76" s="22">
        <f>($D$72-F72)*0.2/12*8+F72*0.1</f>
        <v>68952.666666666672</v>
      </c>
      <c r="G76" s="22">
        <f>($D$72-G72)*0.2+G72*0.1</f>
        <v>55290.900000000009</v>
      </c>
      <c r="H76" s="22">
        <f>($D$72-H72)*0.2+H72*0.1</f>
        <v>103429</v>
      </c>
      <c r="I76" s="22">
        <f>($D$72-I72)*0.2+I72*0.1</f>
        <v>103429</v>
      </c>
      <c r="J76" s="22">
        <f>($D$72-J72)*0.2+J72*0.1</f>
        <v>103429</v>
      </c>
      <c r="K76" s="22">
        <v>48138</v>
      </c>
      <c r="L76" s="22"/>
      <c r="M76" s="22"/>
      <c r="N76" s="22"/>
      <c r="O76" s="22"/>
      <c r="P76" s="23"/>
      <c r="Q76" s="14">
        <f>D72-D76</f>
        <v>34476.433333333349</v>
      </c>
    </row>
    <row r="77" spans="1:21" ht="16.5" thickBot="1" x14ac:dyDescent="0.3">
      <c r="C77" s="24" t="s">
        <v>100</v>
      </c>
      <c r="D77" s="25">
        <f>SUM(D75:D76)</f>
        <v>16749716.916666666</v>
      </c>
      <c r="E77" s="25">
        <f t="shared" ref="E77:P77" si="3">SUM(E75:E76)</f>
        <v>0</v>
      </c>
      <c r="F77" s="25">
        <f t="shared" si="3"/>
        <v>1165262.3666666669</v>
      </c>
      <c r="G77" s="25">
        <f t="shared" si="3"/>
        <v>1443154.6</v>
      </c>
      <c r="H77" s="25">
        <f t="shared" si="3"/>
        <v>1772652.4000000001</v>
      </c>
      <c r="I77" s="25">
        <f t="shared" si="3"/>
        <v>1641501.2500000002</v>
      </c>
      <c r="J77" s="25">
        <f t="shared" si="3"/>
        <v>1658887.2</v>
      </c>
      <c r="K77" s="25">
        <f t="shared" si="3"/>
        <v>1687872.7</v>
      </c>
      <c r="L77" s="25">
        <f t="shared" si="3"/>
        <v>1678151.6</v>
      </c>
      <c r="M77" s="25">
        <f t="shared" si="3"/>
        <v>1678151.6</v>
      </c>
      <c r="N77" s="25">
        <f t="shared" si="3"/>
        <v>1678151.6</v>
      </c>
      <c r="O77" s="25">
        <f t="shared" si="3"/>
        <v>1678151.6</v>
      </c>
      <c r="P77" s="25">
        <f t="shared" si="3"/>
        <v>667780</v>
      </c>
    </row>
  </sheetData>
  <autoFilter ref="A2:Q72"/>
  <mergeCells count="3">
    <mergeCell ref="B2:B3"/>
    <mergeCell ref="C2:C3"/>
    <mergeCell ref="Q2:Q3"/>
  </mergeCells>
  <pageMargins left="0.7" right="0.7" top="0.75" bottom="0.75" header="0.3" footer="0.3"/>
  <pageSetup paperSize="8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topLeftCell="A55" workbookViewId="0">
      <selection activeCell="U75" sqref="U75"/>
    </sheetView>
  </sheetViews>
  <sheetFormatPr defaultRowHeight="15" x14ac:dyDescent="0.25"/>
  <cols>
    <col min="1" max="1" width="8.140625" style="1" customWidth="1"/>
    <col min="2" max="2" width="9.140625" style="1"/>
    <col min="3" max="3" width="55.28515625" style="1" customWidth="1"/>
    <col min="4" max="4" width="13.5703125" style="1" customWidth="1"/>
    <col min="5" max="5" width="10.140625" style="1" hidden="1" customWidth="1"/>
    <col min="6" max="15" width="10.140625" style="1" bestFit="1" customWidth="1"/>
    <col min="16" max="16" width="10.42578125" style="1" customWidth="1"/>
    <col min="17" max="17" width="12.5703125" style="1" customWidth="1"/>
    <col min="18" max="18" width="11" style="1" customWidth="1"/>
    <col min="19" max="19" width="10.5703125" style="1" customWidth="1"/>
    <col min="20" max="20" width="10.7109375" style="1" customWidth="1"/>
    <col min="21" max="21" width="10.140625" style="1" bestFit="1" customWidth="1"/>
    <col min="22" max="16384" width="9.140625" style="1"/>
  </cols>
  <sheetData>
    <row r="1" spans="1:17" ht="19.5" thickBot="1" x14ac:dyDescent="0.35">
      <c r="A1" s="264" t="s">
        <v>413</v>
      </c>
    </row>
    <row r="2" spans="1:17" ht="41.25" customHeight="1" x14ac:dyDescent="0.25">
      <c r="A2" s="2" t="s">
        <v>0</v>
      </c>
      <c r="B2" s="554" t="s">
        <v>1</v>
      </c>
      <c r="C2" s="556" t="s">
        <v>2</v>
      </c>
      <c r="D2" s="3" t="s">
        <v>3</v>
      </c>
      <c r="E2" s="3" t="s">
        <v>4</v>
      </c>
      <c r="F2" s="3">
        <v>2020</v>
      </c>
      <c r="G2" s="3">
        <v>2021</v>
      </c>
      <c r="H2" s="3">
        <v>2022</v>
      </c>
      <c r="I2" s="3">
        <v>2023</v>
      </c>
      <c r="J2" s="3">
        <v>2024</v>
      </c>
      <c r="K2" s="3">
        <v>2025</v>
      </c>
      <c r="L2" s="3">
        <v>2026</v>
      </c>
      <c r="M2" s="3">
        <v>2027</v>
      </c>
      <c r="N2" s="3">
        <v>2028</v>
      </c>
      <c r="O2" s="3">
        <v>2029</v>
      </c>
      <c r="P2" s="3">
        <v>2030</v>
      </c>
      <c r="Q2" s="554" t="s">
        <v>5</v>
      </c>
    </row>
    <row r="3" spans="1:17" ht="15.75" thickBot="1" x14ac:dyDescent="0.3">
      <c r="A3" s="4" t="s">
        <v>6</v>
      </c>
      <c r="B3" s="555"/>
      <c r="C3" s="557"/>
      <c r="D3" s="5" t="s">
        <v>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55"/>
    </row>
    <row r="4" spans="1:17" ht="41.25" thickBot="1" x14ac:dyDescent="0.3">
      <c r="A4" s="6">
        <v>1</v>
      </c>
      <c r="B4" s="7">
        <v>897</v>
      </c>
      <c r="C4" s="8" t="s">
        <v>8</v>
      </c>
      <c r="D4" s="9">
        <v>2270437</v>
      </c>
      <c r="E4" s="7"/>
      <c r="F4" s="7"/>
      <c r="G4" s="7" t="s">
        <v>9</v>
      </c>
      <c r="H4" s="7"/>
      <c r="I4" s="7"/>
      <c r="J4" s="7"/>
      <c r="K4" s="7"/>
      <c r="L4" s="7"/>
      <c r="M4" s="7"/>
      <c r="N4" s="7"/>
      <c r="O4" s="7"/>
      <c r="P4" s="7"/>
      <c r="Q4" s="8" t="s">
        <v>10</v>
      </c>
    </row>
    <row r="5" spans="1:17" ht="15.75" thickBot="1" x14ac:dyDescent="0.3">
      <c r="A5" s="6">
        <v>2</v>
      </c>
      <c r="B5" s="7">
        <v>7733</v>
      </c>
      <c r="C5" s="8" t="s">
        <v>11</v>
      </c>
      <c r="D5" s="9">
        <v>277967</v>
      </c>
      <c r="E5" s="7" t="s">
        <v>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 t="s">
        <v>9</v>
      </c>
    </row>
    <row r="6" spans="1:17" ht="15.75" thickBot="1" x14ac:dyDescent="0.3">
      <c r="A6" s="6">
        <v>3</v>
      </c>
      <c r="B6" s="7" t="s">
        <v>12</v>
      </c>
      <c r="C6" s="8" t="s">
        <v>13</v>
      </c>
      <c r="D6" s="9">
        <v>691609</v>
      </c>
      <c r="E6" s="7" t="s">
        <v>9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 t="s">
        <v>9</v>
      </c>
    </row>
    <row r="7" spans="1:17" ht="27.75" thickBot="1" x14ac:dyDescent="0.3">
      <c r="A7" s="6">
        <v>4</v>
      </c>
      <c r="B7" s="7">
        <v>7738</v>
      </c>
      <c r="C7" s="8" t="s">
        <v>14</v>
      </c>
      <c r="D7" s="9">
        <v>670047</v>
      </c>
      <c r="E7" s="7" t="s">
        <v>9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0" t="s">
        <v>9</v>
      </c>
    </row>
    <row r="8" spans="1:17" ht="15.75" thickBot="1" x14ac:dyDescent="0.3">
      <c r="A8" s="6">
        <v>5</v>
      </c>
      <c r="B8" s="7">
        <v>7735</v>
      </c>
      <c r="C8" s="8" t="s">
        <v>15</v>
      </c>
      <c r="D8" s="9">
        <v>284192</v>
      </c>
      <c r="E8" s="7" t="s">
        <v>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0" t="s">
        <v>9</v>
      </c>
    </row>
    <row r="9" spans="1:17" ht="27.75" thickBot="1" x14ac:dyDescent="0.3">
      <c r="A9" s="6">
        <v>6</v>
      </c>
      <c r="B9" s="7">
        <v>7734</v>
      </c>
      <c r="C9" s="8" t="s">
        <v>16</v>
      </c>
      <c r="D9" s="9">
        <v>768338</v>
      </c>
      <c r="E9" s="7"/>
      <c r="F9" s="7"/>
      <c r="G9" s="7"/>
      <c r="H9" s="7"/>
      <c r="I9" s="7" t="s">
        <v>9</v>
      </c>
      <c r="J9" s="7"/>
      <c r="K9" s="7" t="s">
        <v>9</v>
      </c>
      <c r="L9" s="7"/>
      <c r="M9" s="7"/>
      <c r="N9" s="7"/>
      <c r="O9" s="7"/>
      <c r="P9" s="7"/>
      <c r="Q9" s="10" t="s">
        <v>17</v>
      </c>
    </row>
    <row r="10" spans="1:17" ht="27.75" thickBot="1" x14ac:dyDescent="0.3">
      <c r="A10" s="6">
        <v>7</v>
      </c>
      <c r="B10" s="7">
        <v>7737</v>
      </c>
      <c r="C10" s="8" t="s">
        <v>18</v>
      </c>
      <c r="D10" s="9">
        <v>62665</v>
      </c>
      <c r="E10" s="7" t="s">
        <v>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0" t="s">
        <v>9</v>
      </c>
    </row>
    <row r="11" spans="1:17" ht="15.75" thickBot="1" x14ac:dyDescent="0.3">
      <c r="A11" s="6">
        <v>8</v>
      </c>
      <c r="B11" s="7" t="s">
        <v>19</v>
      </c>
      <c r="C11" s="8" t="s">
        <v>20</v>
      </c>
      <c r="D11" s="9">
        <v>25527</v>
      </c>
      <c r="E11" s="7" t="s">
        <v>9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0" t="s">
        <v>9</v>
      </c>
    </row>
    <row r="12" spans="1:17" ht="15.75" thickBot="1" x14ac:dyDescent="0.3">
      <c r="A12" s="6">
        <v>9</v>
      </c>
      <c r="B12" s="7">
        <v>893</v>
      </c>
      <c r="C12" s="8" t="s">
        <v>21</v>
      </c>
      <c r="D12" s="9">
        <v>382711</v>
      </c>
      <c r="E12" s="7" t="s">
        <v>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0" t="s">
        <v>9</v>
      </c>
    </row>
    <row r="13" spans="1:17" ht="27.75" thickBot="1" x14ac:dyDescent="0.3">
      <c r="A13" s="6">
        <v>10</v>
      </c>
      <c r="B13" s="7">
        <v>7741</v>
      </c>
      <c r="C13" s="8" t="s">
        <v>22</v>
      </c>
      <c r="D13" s="9">
        <v>1733417</v>
      </c>
      <c r="E13" s="7"/>
      <c r="F13" s="7"/>
      <c r="G13" s="7"/>
      <c r="H13" s="7"/>
      <c r="I13" s="7"/>
      <c r="J13" s="7" t="s">
        <v>9</v>
      </c>
      <c r="K13" s="7"/>
      <c r="L13" s="7"/>
      <c r="M13" s="7"/>
      <c r="N13" s="7"/>
      <c r="O13" s="7"/>
      <c r="P13" s="7"/>
      <c r="Q13" s="10" t="s">
        <v>23</v>
      </c>
    </row>
    <row r="14" spans="1:17" ht="41.25" thickBot="1" x14ac:dyDescent="0.3">
      <c r="A14" s="6">
        <v>11</v>
      </c>
      <c r="B14" s="7">
        <v>7746</v>
      </c>
      <c r="C14" s="8" t="s">
        <v>24</v>
      </c>
      <c r="D14" s="9">
        <v>1808223</v>
      </c>
      <c r="E14" s="7"/>
      <c r="F14" s="7"/>
      <c r="G14" s="7" t="s">
        <v>9</v>
      </c>
      <c r="H14" s="7"/>
      <c r="I14" s="7"/>
      <c r="J14" s="7"/>
      <c r="K14" s="7"/>
      <c r="L14" s="7"/>
      <c r="M14" s="7"/>
      <c r="N14" s="7"/>
      <c r="O14" s="7"/>
      <c r="P14" s="7"/>
      <c r="Q14" s="8" t="s">
        <v>25</v>
      </c>
    </row>
    <row r="15" spans="1:17" ht="15.75" thickBot="1" x14ac:dyDescent="0.3">
      <c r="A15" s="6">
        <v>12</v>
      </c>
      <c r="B15" s="7">
        <v>7952</v>
      </c>
      <c r="C15" s="8" t="s">
        <v>26</v>
      </c>
      <c r="D15" s="9">
        <v>106179</v>
      </c>
      <c r="E15" s="7"/>
      <c r="F15" s="7"/>
      <c r="G15" s="7"/>
      <c r="H15" s="7"/>
      <c r="I15" s="7"/>
      <c r="J15" s="7" t="s">
        <v>9</v>
      </c>
      <c r="K15" s="7"/>
      <c r="L15" s="7"/>
      <c r="M15" s="7"/>
      <c r="N15" s="7"/>
      <c r="O15" s="7"/>
      <c r="P15" s="7"/>
      <c r="Q15" s="10" t="s">
        <v>23</v>
      </c>
    </row>
    <row r="16" spans="1:17" ht="27.75" thickBot="1" x14ac:dyDescent="0.3">
      <c r="A16" s="6">
        <v>13</v>
      </c>
      <c r="B16" s="7">
        <v>7742</v>
      </c>
      <c r="C16" s="8" t="s">
        <v>27</v>
      </c>
      <c r="D16" s="9">
        <v>367873</v>
      </c>
      <c r="E16" s="7"/>
      <c r="F16" s="7" t="s">
        <v>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10" t="s">
        <v>28</v>
      </c>
    </row>
    <row r="17" spans="1:17" ht="27.75" thickBot="1" x14ac:dyDescent="0.3">
      <c r="A17" s="6">
        <v>14</v>
      </c>
      <c r="B17" s="7">
        <v>7736</v>
      </c>
      <c r="C17" s="8" t="s">
        <v>29</v>
      </c>
      <c r="D17" s="9">
        <v>85044</v>
      </c>
      <c r="E17" s="7"/>
      <c r="F17" s="7" t="s">
        <v>9</v>
      </c>
      <c r="G17" s="7" t="s">
        <v>9</v>
      </c>
      <c r="H17" s="7"/>
      <c r="I17" s="7"/>
      <c r="J17" s="7"/>
      <c r="K17" s="7"/>
      <c r="L17" s="7"/>
      <c r="M17" s="7"/>
      <c r="N17" s="7"/>
      <c r="O17" s="7"/>
      <c r="P17" s="7"/>
      <c r="Q17" s="10" t="s">
        <v>30</v>
      </c>
    </row>
    <row r="18" spans="1:17" ht="15.75" thickBot="1" x14ac:dyDescent="0.3">
      <c r="A18" s="6">
        <v>15</v>
      </c>
      <c r="B18" s="7">
        <v>7958</v>
      </c>
      <c r="C18" s="8" t="s">
        <v>31</v>
      </c>
      <c r="D18" s="9">
        <v>249334</v>
      </c>
      <c r="E18" s="7"/>
      <c r="F18" s="7"/>
      <c r="G18" s="7"/>
      <c r="H18" s="7"/>
      <c r="I18" s="7"/>
      <c r="J18" s="7" t="s">
        <v>9</v>
      </c>
      <c r="K18" s="7"/>
      <c r="L18" s="7"/>
      <c r="M18" s="7"/>
      <c r="N18" s="7"/>
      <c r="O18" s="7"/>
      <c r="P18" s="7"/>
      <c r="Q18" s="10" t="s">
        <v>23</v>
      </c>
    </row>
    <row r="19" spans="1:17" ht="41.25" thickBot="1" x14ac:dyDescent="0.3">
      <c r="A19" s="6">
        <v>16</v>
      </c>
      <c r="B19" s="7">
        <v>7750</v>
      </c>
      <c r="C19" s="8" t="s">
        <v>32</v>
      </c>
      <c r="D19" s="9">
        <v>622126</v>
      </c>
      <c r="E19" s="7"/>
      <c r="F19" s="7" t="s">
        <v>9</v>
      </c>
      <c r="G19" s="7" t="s">
        <v>9</v>
      </c>
      <c r="H19" s="7"/>
      <c r="I19" s="7"/>
      <c r="J19" s="7"/>
      <c r="K19" s="7"/>
      <c r="L19" s="7"/>
      <c r="M19" s="7"/>
      <c r="N19" s="7"/>
      <c r="O19" s="7"/>
      <c r="P19" s="7"/>
      <c r="Q19" s="10" t="s">
        <v>33</v>
      </c>
    </row>
    <row r="20" spans="1:17" ht="15.75" thickBot="1" x14ac:dyDescent="0.3">
      <c r="A20" s="6">
        <v>17</v>
      </c>
      <c r="B20" s="7">
        <v>7755</v>
      </c>
      <c r="C20" s="8" t="s">
        <v>34</v>
      </c>
      <c r="D20" s="9">
        <v>102290</v>
      </c>
      <c r="E20" s="7" t="s">
        <v>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0" t="s">
        <v>9</v>
      </c>
    </row>
    <row r="21" spans="1:17" ht="27.75" thickBot="1" x14ac:dyDescent="0.3">
      <c r="A21" s="6">
        <v>18</v>
      </c>
      <c r="B21" s="7">
        <v>7756</v>
      </c>
      <c r="C21" s="8" t="s">
        <v>35</v>
      </c>
      <c r="D21" s="9">
        <v>27351</v>
      </c>
      <c r="E21" s="7" t="s">
        <v>9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0" t="s">
        <v>9</v>
      </c>
    </row>
    <row r="22" spans="1:17" ht="15.75" thickBot="1" x14ac:dyDescent="0.3">
      <c r="A22" s="6">
        <v>19</v>
      </c>
      <c r="B22" s="7">
        <v>7933</v>
      </c>
      <c r="C22" s="8" t="s">
        <v>36</v>
      </c>
      <c r="D22" s="9">
        <v>34972</v>
      </c>
      <c r="E22" s="7"/>
      <c r="F22" s="7"/>
      <c r="G22" s="7"/>
      <c r="H22" s="7"/>
      <c r="I22" s="7"/>
      <c r="J22" s="7" t="s">
        <v>9</v>
      </c>
      <c r="K22" s="7"/>
      <c r="L22" s="7"/>
      <c r="M22" s="7"/>
      <c r="N22" s="7"/>
      <c r="O22" s="7"/>
      <c r="P22" s="7"/>
      <c r="Q22" s="10" t="s">
        <v>23</v>
      </c>
    </row>
    <row r="23" spans="1:17" ht="15.75" thickBot="1" x14ac:dyDescent="0.3">
      <c r="A23" s="6">
        <v>20</v>
      </c>
      <c r="B23" s="7">
        <v>7740</v>
      </c>
      <c r="C23" s="8" t="s">
        <v>37</v>
      </c>
      <c r="D23" s="9">
        <v>255825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0" t="s">
        <v>38</v>
      </c>
    </row>
    <row r="24" spans="1:17" ht="27.75" thickBot="1" x14ac:dyDescent="0.3">
      <c r="A24" s="6">
        <v>21</v>
      </c>
      <c r="B24" s="7">
        <v>7744</v>
      </c>
      <c r="C24" s="8" t="s">
        <v>39</v>
      </c>
      <c r="D24" s="9">
        <v>31335</v>
      </c>
      <c r="E24" s="7" t="s">
        <v>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0" t="s">
        <v>9</v>
      </c>
    </row>
    <row r="25" spans="1:17" ht="27.75" thickBot="1" x14ac:dyDescent="0.3">
      <c r="A25" s="6">
        <v>22</v>
      </c>
      <c r="B25" s="7">
        <v>7743</v>
      </c>
      <c r="C25" s="8" t="s">
        <v>40</v>
      </c>
      <c r="D25" s="9">
        <v>109911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0" t="s">
        <v>41</v>
      </c>
    </row>
    <row r="26" spans="1:17" ht="27.75" thickBot="1" x14ac:dyDescent="0.3">
      <c r="A26" s="6">
        <v>23</v>
      </c>
      <c r="B26" s="7">
        <v>7739</v>
      </c>
      <c r="C26" s="8" t="s">
        <v>42</v>
      </c>
      <c r="D26" s="9">
        <v>288242</v>
      </c>
      <c r="E26" s="7" t="s">
        <v>9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0" t="s">
        <v>9</v>
      </c>
    </row>
    <row r="27" spans="1:17" ht="15.75" thickBot="1" x14ac:dyDescent="0.3">
      <c r="A27" s="6">
        <v>24</v>
      </c>
      <c r="B27" s="7" t="s">
        <v>43</v>
      </c>
      <c r="C27" s="8" t="s">
        <v>44</v>
      </c>
      <c r="D27" s="9">
        <v>16410</v>
      </c>
      <c r="E27" s="7"/>
      <c r="F27" s="7"/>
      <c r="G27" s="7"/>
      <c r="H27" s="7"/>
      <c r="I27" s="7"/>
      <c r="J27" s="7" t="s">
        <v>9</v>
      </c>
      <c r="K27" s="7"/>
      <c r="L27" s="7"/>
      <c r="M27" s="7"/>
      <c r="N27" s="7"/>
      <c r="O27" s="7"/>
      <c r="P27" s="7"/>
      <c r="Q27" s="10" t="s">
        <v>23</v>
      </c>
    </row>
    <row r="28" spans="1:17" ht="15.75" thickBot="1" x14ac:dyDescent="0.3">
      <c r="A28" s="6">
        <v>25</v>
      </c>
      <c r="B28" s="7" t="s">
        <v>45</v>
      </c>
      <c r="C28" s="8" t="s">
        <v>46</v>
      </c>
      <c r="D28" s="9">
        <v>22883</v>
      </c>
      <c r="E28" s="7"/>
      <c r="F28" s="7"/>
      <c r="G28" s="7"/>
      <c r="H28" s="7"/>
      <c r="I28" s="7"/>
      <c r="J28" s="7" t="s">
        <v>9</v>
      </c>
      <c r="K28" s="7"/>
      <c r="L28" s="7"/>
      <c r="M28" s="7"/>
      <c r="N28" s="7"/>
      <c r="O28" s="7"/>
      <c r="P28" s="7"/>
      <c r="Q28" s="10" t="s">
        <v>23</v>
      </c>
    </row>
    <row r="29" spans="1:17" ht="15.75" thickBot="1" x14ac:dyDescent="0.3">
      <c r="A29" s="6">
        <v>26</v>
      </c>
      <c r="B29" s="7" t="s">
        <v>47</v>
      </c>
      <c r="C29" s="8" t="s">
        <v>48</v>
      </c>
      <c r="D29" s="9">
        <v>10879</v>
      </c>
      <c r="E29" s="7" t="s">
        <v>9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0" t="s">
        <v>9</v>
      </c>
    </row>
    <row r="30" spans="1:17" ht="15.75" thickBot="1" x14ac:dyDescent="0.3">
      <c r="A30" s="6">
        <v>27</v>
      </c>
      <c r="B30" s="7">
        <v>7751</v>
      </c>
      <c r="C30" s="8" t="s">
        <v>49</v>
      </c>
      <c r="D30" s="9">
        <v>115125</v>
      </c>
      <c r="E30" s="7" t="s">
        <v>9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0" t="s">
        <v>9</v>
      </c>
    </row>
    <row r="31" spans="1:17" ht="27.75" thickBot="1" x14ac:dyDescent="0.3">
      <c r="A31" s="6">
        <v>28</v>
      </c>
      <c r="B31" s="7">
        <v>7753</v>
      </c>
      <c r="C31" s="8" t="s">
        <v>50</v>
      </c>
      <c r="D31" s="9">
        <v>1501961</v>
      </c>
      <c r="E31" s="7" t="s">
        <v>9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0" t="s">
        <v>9</v>
      </c>
    </row>
    <row r="32" spans="1:17" ht="27.75" thickBot="1" x14ac:dyDescent="0.3">
      <c r="A32" s="6">
        <v>29</v>
      </c>
      <c r="B32" s="7">
        <v>7757</v>
      </c>
      <c r="C32" s="8" t="s">
        <v>51</v>
      </c>
      <c r="D32" s="9">
        <v>75808</v>
      </c>
      <c r="E32" s="7" t="s">
        <v>9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0" t="s">
        <v>9</v>
      </c>
    </row>
    <row r="33" spans="1:17" ht="15.75" thickBot="1" x14ac:dyDescent="0.3">
      <c r="A33" s="6">
        <v>30</v>
      </c>
      <c r="B33" s="7">
        <v>7754</v>
      </c>
      <c r="C33" s="8" t="s">
        <v>52</v>
      </c>
      <c r="D33" s="9">
        <v>30599</v>
      </c>
      <c r="E33" s="7" t="s">
        <v>9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10" t="s">
        <v>9</v>
      </c>
    </row>
    <row r="34" spans="1:17" ht="15.75" thickBot="1" x14ac:dyDescent="0.3">
      <c r="A34" s="6">
        <v>31</v>
      </c>
      <c r="B34" s="7">
        <v>7748</v>
      </c>
      <c r="C34" s="8" t="s">
        <v>53</v>
      </c>
      <c r="D34" s="9">
        <v>37379</v>
      </c>
      <c r="E34" s="7" t="s">
        <v>9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10" t="s">
        <v>9</v>
      </c>
    </row>
    <row r="35" spans="1:17" ht="15.75" thickBot="1" x14ac:dyDescent="0.3">
      <c r="A35" s="6">
        <v>32</v>
      </c>
      <c r="B35" s="7">
        <v>7745</v>
      </c>
      <c r="C35" s="8" t="s">
        <v>54</v>
      </c>
      <c r="D35" s="9">
        <v>8253</v>
      </c>
      <c r="E35" s="7" t="s">
        <v>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0" t="s">
        <v>9</v>
      </c>
    </row>
    <row r="36" spans="1:17" ht="15.75" thickBot="1" x14ac:dyDescent="0.3">
      <c r="A36" s="6">
        <v>33</v>
      </c>
      <c r="B36" s="7" t="s">
        <v>55</v>
      </c>
      <c r="C36" s="8" t="s">
        <v>56</v>
      </c>
      <c r="D36" s="9">
        <v>23248</v>
      </c>
      <c r="E36" s="7" t="s">
        <v>9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0" t="s">
        <v>9</v>
      </c>
    </row>
    <row r="37" spans="1:17" ht="15.75" thickBot="1" x14ac:dyDescent="0.3">
      <c r="A37" s="6">
        <v>34</v>
      </c>
      <c r="B37" s="7" t="s">
        <v>57</v>
      </c>
      <c r="C37" s="8" t="s">
        <v>58</v>
      </c>
      <c r="D37" s="9">
        <v>14255</v>
      </c>
      <c r="E37" s="7" t="s">
        <v>9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0" t="s">
        <v>9</v>
      </c>
    </row>
    <row r="38" spans="1:17" ht="15.75" thickBot="1" x14ac:dyDescent="0.3">
      <c r="A38" s="6">
        <v>35</v>
      </c>
      <c r="B38" s="7" t="s">
        <v>59</v>
      </c>
      <c r="C38" s="8" t="s">
        <v>60</v>
      </c>
      <c r="D38" s="9">
        <v>6752</v>
      </c>
      <c r="E38" s="7" t="s">
        <v>9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10" t="s">
        <v>9</v>
      </c>
    </row>
    <row r="39" spans="1:17" ht="15.75" thickBot="1" x14ac:dyDescent="0.3">
      <c r="A39" s="6">
        <v>36</v>
      </c>
      <c r="B39" s="7">
        <v>10069</v>
      </c>
      <c r="C39" s="8" t="s">
        <v>61</v>
      </c>
      <c r="D39" s="9">
        <v>160458</v>
      </c>
      <c r="E39" s="7" t="s">
        <v>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10" t="s">
        <v>9</v>
      </c>
    </row>
    <row r="40" spans="1:17" ht="15.75" thickBot="1" x14ac:dyDescent="0.3">
      <c r="A40" s="6">
        <v>37</v>
      </c>
      <c r="B40" s="7">
        <v>10068</v>
      </c>
      <c r="C40" s="8" t="s">
        <v>62</v>
      </c>
      <c r="D40" s="9">
        <v>46515</v>
      </c>
      <c r="E40" s="7" t="s">
        <v>9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10" t="s">
        <v>9</v>
      </c>
    </row>
    <row r="41" spans="1:17" ht="15.75" thickBot="1" x14ac:dyDescent="0.3">
      <c r="A41" s="6">
        <v>38</v>
      </c>
      <c r="B41" s="7">
        <v>10066</v>
      </c>
      <c r="C41" s="8" t="s">
        <v>63</v>
      </c>
      <c r="D41" s="9">
        <v>30010</v>
      </c>
      <c r="E41" s="7" t="s">
        <v>9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10" t="s">
        <v>9</v>
      </c>
    </row>
    <row r="42" spans="1:17" ht="15.75" thickBot="1" x14ac:dyDescent="0.3">
      <c r="A42" s="6">
        <v>39</v>
      </c>
      <c r="B42" s="7">
        <v>10067</v>
      </c>
      <c r="C42" s="8" t="s">
        <v>64</v>
      </c>
      <c r="D42" s="9">
        <v>18756</v>
      </c>
      <c r="E42" s="7" t="s">
        <v>9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10" t="s">
        <v>9</v>
      </c>
    </row>
    <row r="43" spans="1:17" ht="15.75" thickBot="1" x14ac:dyDescent="0.3">
      <c r="A43" s="6">
        <v>40</v>
      </c>
      <c r="B43" s="7">
        <v>7747</v>
      </c>
      <c r="C43" s="8" t="s">
        <v>65</v>
      </c>
      <c r="D43" s="9">
        <v>18234</v>
      </c>
      <c r="E43" s="7"/>
      <c r="F43" s="7"/>
      <c r="G43" s="7"/>
      <c r="H43" s="7"/>
      <c r="I43" s="7"/>
      <c r="J43" s="7" t="s">
        <v>9</v>
      </c>
      <c r="K43" s="7"/>
      <c r="L43" s="7"/>
      <c r="M43" s="7"/>
      <c r="N43" s="7"/>
      <c r="O43" s="7"/>
      <c r="P43" s="7"/>
      <c r="Q43" s="10" t="s">
        <v>23</v>
      </c>
    </row>
    <row r="44" spans="1:17" ht="27.75" thickBot="1" x14ac:dyDescent="0.3">
      <c r="A44" s="6">
        <v>41</v>
      </c>
      <c r="B44" s="7">
        <v>7749</v>
      </c>
      <c r="C44" s="8" t="s">
        <v>66</v>
      </c>
      <c r="D44" s="9">
        <v>28509</v>
      </c>
      <c r="E44" s="7" t="s">
        <v>9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10" t="s">
        <v>9</v>
      </c>
    </row>
    <row r="45" spans="1:17" ht="15.75" thickBot="1" x14ac:dyDescent="0.3">
      <c r="A45" s="6">
        <v>42</v>
      </c>
      <c r="B45" s="7">
        <v>7732</v>
      </c>
      <c r="C45" s="8" t="s">
        <v>67</v>
      </c>
      <c r="D45" s="9">
        <v>21007</v>
      </c>
      <c r="E45" s="7" t="s">
        <v>9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10" t="s">
        <v>9</v>
      </c>
    </row>
    <row r="46" spans="1:17" ht="27.75" thickBot="1" x14ac:dyDescent="0.3">
      <c r="A46" s="6">
        <v>43</v>
      </c>
      <c r="B46" s="7">
        <v>898</v>
      </c>
      <c r="C46" s="8" t="s">
        <v>68</v>
      </c>
      <c r="D46" s="9">
        <v>272439</v>
      </c>
      <c r="E46" s="7"/>
      <c r="F46" s="7" t="s">
        <v>9</v>
      </c>
      <c r="G46" s="7"/>
      <c r="H46" s="7"/>
      <c r="I46" s="7"/>
      <c r="J46" s="7" t="s">
        <v>9</v>
      </c>
      <c r="K46" s="7"/>
      <c r="L46" s="7"/>
      <c r="M46" s="7"/>
      <c r="N46" s="7"/>
      <c r="O46" s="7"/>
      <c r="P46" s="7"/>
      <c r="Q46" s="10" t="s">
        <v>69</v>
      </c>
    </row>
    <row r="47" spans="1:17" ht="15.75" thickBot="1" x14ac:dyDescent="0.3">
      <c r="A47" s="6">
        <v>44</v>
      </c>
      <c r="B47" s="7">
        <v>10059</v>
      </c>
      <c r="C47" s="8" t="s">
        <v>70</v>
      </c>
      <c r="D47" s="9">
        <v>70803</v>
      </c>
      <c r="E47" s="7"/>
      <c r="F47" s="7"/>
      <c r="G47" s="7"/>
      <c r="H47" s="7"/>
      <c r="I47" s="7" t="s">
        <v>9</v>
      </c>
      <c r="J47" s="7"/>
      <c r="K47" s="7"/>
      <c r="L47" s="7"/>
      <c r="M47" s="7"/>
      <c r="N47" s="7"/>
      <c r="O47" s="7"/>
      <c r="P47" s="7"/>
      <c r="Q47" s="10" t="s">
        <v>71</v>
      </c>
    </row>
    <row r="48" spans="1:17" ht="15.75" thickBot="1" x14ac:dyDescent="0.3">
      <c r="A48" s="6">
        <v>45</v>
      </c>
      <c r="B48" s="7">
        <v>10056</v>
      </c>
      <c r="C48" s="8" t="s">
        <v>72</v>
      </c>
      <c r="D48" s="9">
        <v>186218</v>
      </c>
      <c r="E48" s="7"/>
      <c r="F48" s="7"/>
      <c r="G48" s="7"/>
      <c r="H48" s="7"/>
      <c r="I48" s="7" t="s">
        <v>9</v>
      </c>
      <c r="J48" s="7"/>
      <c r="K48" s="7"/>
      <c r="L48" s="7"/>
      <c r="M48" s="7"/>
      <c r="N48" s="7"/>
      <c r="O48" s="7"/>
      <c r="P48" s="7"/>
      <c r="Q48" s="10" t="s">
        <v>71</v>
      </c>
    </row>
    <row r="49" spans="1:17" ht="15.75" thickBot="1" x14ac:dyDescent="0.3">
      <c r="A49" s="6">
        <v>46</v>
      </c>
      <c r="B49" s="7">
        <v>10057</v>
      </c>
      <c r="C49" s="8" t="s">
        <v>73</v>
      </c>
      <c r="D49" s="9">
        <v>81577</v>
      </c>
      <c r="E49" s="7"/>
      <c r="F49" s="7"/>
      <c r="G49" s="7"/>
      <c r="H49" s="7"/>
      <c r="I49" s="7" t="s">
        <v>9</v>
      </c>
      <c r="J49" s="7"/>
      <c r="K49" s="7"/>
      <c r="L49" s="7"/>
      <c r="M49" s="7"/>
      <c r="N49" s="7"/>
      <c r="O49" s="7"/>
      <c r="P49" s="7"/>
      <c r="Q49" s="10" t="s">
        <v>71</v>
      </c>
    </row>
    <row r="50" spans="1:17" ht="27.75" thickBot="1" x14ac:dyDescent="0.3">
      <c r="A50" s="6">
        <v>47</v>
      </c>
      <c r="B50" s="7">
        <v>10055</v>
      </c>
      <c r="C50" s="8" t="s">
        <v>74</v>
      </c>
      <c r="D50" s="9">
        <v>347626</v>
      </c>
      <c r="E50" s="7"/>
      <c r="F50" s="7"/>
      <c r="G50" s="7" t="s">
        <v>9</v>
      </c>
      <c r="H50" s="7"/>
      <c r="I50" s="7" t="s">
        <v>9</v>
      </c>
      <c r="J50" s="7"/>
      <c r="K50" s="7"/>
      <c r="L50" s="7"/>
      <c r="M50" s="7"/>
      <c r="N50" s="7"/>
      <c r="O50" s="7"/>
      <c r="P50" s="7"/>
      <c r="Q50" s="10" t="s">
        <v>75</v>
      </c>
    </row>
    <row r="51" spans="1:17" ht="15.75" thickBot="1" x14ac:dyDescent="0.3">
      <c r="A51" s="6">
        <v>48</v>
      </c>
      <c r="B51" s="7">
        <v>10061</v>
      </c>
      <c r="C51" s="8" t="s">
        <v>76</v>
      </c>
      <c r="D51" s="9">
        <v>85903</v>
      </c>
      <c r="E51" s="7" t="s">
        <v>9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10" t="s">
        <v>9</v>
      </c>
    </row>
    <row r="52" spans="1:17" ht="15.75" thickBot="1" x14ac:dyDescent="0.3">
      <c r="A52" s="6">
        <v>49</v>
      </c>
      <c r="B52" s="7">
        <v>10058</v>
      </c>
      <c r="C52" s="8" t="s">
        <v>77</v>
      </c>
      <c r="D52" s="9">
        <v>337174</v>
      </c>
      <c r="E52" s="7"/>
      <c r="F52" s="7"/>
      <c r="G52" s="7"/>
      <c r="H52" s="7"/>
      <c r="I52" s="7" t="s">
        <v>9</v>
      </c>
      <c r="J52" s="7"/>
      <c r="K52" s="7"/>
      <c r="L52" s="7"/>
      <c r="M52" s="7"/>
      <c r="N52" s="7"/>
      <c r="O52" s="7"/>
      <c r="P52" s="7"/>
      <c r="Q52" s="10" t="s">
        <v>71</v>
      </c>
    </row>
    <row r="53" spans="1:17" ht="27.75" thickBot="1" x14ac:dyDescent="0.3">
      <c r="A53" s="6">
        <v>50</v>
      </c>
      <c r="B53" s="7">
        <v>10060</v>
      </c>
      <c r="C53" s="8" t="s">
        <v>78</v>
      </c>
      <c r="D53" s="9">
        <v>252529</v>
      </c>
      <c r="E53" s="7"/>
      <c r="F53" s="7"/>
      <c r="G53" s="7" t="s">
        <v>9</v>
      </c>
      <c r="H53" s="7"/>
      <c r="I53" s="7" t="s">
        <v>9</v>
      </c>
      <c r="J53" s="7"/>
      <c r="K53" s="7"/>
      <c r="L53" s="7"/>
      <c r="M53" s="7"/>
      <c r="N53" s="7"/>
      <c r="O53" s="7"/>
      <c r="P53" s="7"/>
      <c r="Q53" s="10" t="s">
        <v>75</v>
      </c>
    </row>
    <row r="54" spans="1:17" ht="15.75" thickBot="1" x14ac:dyDescent="0.3">
      <c r="A54" s="6">
        <v>51</v>
      </c>
      <c r="B54" s="7">
        <v>10062</v>
      </c>
      <c r="C54" s="8" t="s">
        <v>79</v>
      </c>
      <c r="D54" s="9">
        <v>309577</v>
      </c>
      <c r="E54" s="7"/>
      <c r="F54" s="7"/>
      <c r="G54" s="7"/>
      <c r="H54" s="7"/>
      <c r="I54" s="7" t="s">
        <v>9</v>
      </c>
      <c r="J54" s="7"/>
      <c r="K54" s="7"/>
      <c r="L54" s="7"/>
      <c r="M54" s="7"/>
      <c r="N54" s="7"/>
      <c r="O54" s="7"/>
      <c r="P54" s="7"/>
      <c r="Q54" s="10" t="s">
        <v>71</v>
      </c>
    </row>
    <row r="55" spans="1:17" ht="15.75" thickBot="1" x14ac:dyDescent="0.3">
      <c r="A55" s="6">
        <v>52</v>
      </c>
      <c r="B55" s="7">
        <v>10065</v>
      </c>
      <c r="C55" s="8" t="s">
        <v>80</v>
      </c>
      <c r="D55" s="9">
        <v>326101</v>
      </c>
      <c r="E55" s="7"/>
      <c r="F55" s="7"/>
      <c r="G55" s="7"/>
      <c r="H55" s="7"/>
      <c r="I55" s="7" t="s">
        <v>9</v>
      </c>
      <c r="J55" s="7"/>
      <c r="K55" s="7"/>
      <c r="L55" s="7"/>
      <c r="M55" s="7"/>
      <c r="N55" s="7"/>
      <c r="O55" s="7"/>
      <c r="P55" s="7"/>
      <c r="Q55" s="10" t="s">
        <v>71</v>
      </c>
    </row>
    <row r="56" spans="1:17" ht="15.75" thickBot="1" x14ac:dyDescent="0.3">
      <c r="A56" s="6">
        <v>53</v>
      </c>
      <c r="B56" s="7">
        <v>10063</v>
      </c>
      <c r="C56" s="8" t="s">
        <v>81</v>
      </c>
      <c r="D56" s="9">
        <v>121644</v>
      </c>
      <c r="E56" s="7"/>
      <c r="F56" s="7"/>
      <c r="G56" s="7"/>
      <c r="H56" s="7"/>
      <c r="I56" s="7" t="s">
        <v>9</v>
      </c>
      <c r="J56" s="7"/>
      <c r="K56" s="7"/>
      <c r="L56" s="7"/>
      <c r="M56" s="7"/>
      <c r="N56" s="7"/>
      <c r="O56" s="7"/>
      <c r="P56" s="7"/>
      <c r="Q56" s="10" t="s">
        <v>71</v>
      </c>
    </row>
    <row r="57" spans="1:17" ht="27.75" thickBot="1" x14ac:dyDescent="0.3">
      <c r="A57" s="6">
        <v>54</v>
      </c>
      <c r="B57" s="7">
        <v>7752</v>
      </c>
      <c r="C57" s="8" t="s">
        <v>82</v>
      </c>
      <c r="D57" s="9">
        <v>419773</v>
      </c>
      <c r="E57" s="7"/>
      <c r="F57" s="7"/>
      <c r="G57" s="7" t="s">
        <v>9</v>
      </c>
      <c r="H57" s="7"/>
      <c r="I57" s="7"/>
      <c r="J57" s="7"/>
      <c r="K57" s="7"/>
      <c r="L57" s="7"/>
      <c r="M57" s="7"/>
      <c r="N57" s="7"/>
      <c r="O57" s="7"/>
      <c r="P57" s="7"/>
      <c r="Q57" s="10" t="s">
        <v>83</v>
      </c>
    </row>
    <row r="58" spans="1:17" ht="15.75" thickBot="1" x14ac:dyDescent="0.3">
      <c r="A58" s="6">
        <v>55</v>
      </c>
      <c r="B58" s="7">
        <v>10054</v>
      </c>
      <c r="C58" s="8" t="s">
        <v>84</v>
      </c>
      <c r="D58" s="9">
        <v>21881</v>
      </c>
      <c r="E58" s="7" t="s">
        <v>9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 t="s">
        <v>9</v>
      </c>
    </row>
    <row r="59" spans="1:17" ht="15.75" thickBot="1" x14ac:dyDescent="0.3">
      <c r="A59" s="6">
        <v>56</v>
      </c>
      <c r="B59" s="7">
        <v>10064</v>
      </c>
      <c r="C59" s="8" t="s">
        <v>85</v>
      </c>
      <c r="D59" s="9">
        <v>11254</v>
      </c>
      <c r="E59" s="7" t="s">
        <v>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10" t="s">
        <v>9</v>
      </c>
    </row>
    <row r="60" spans="1:17" ht="15.75" thickBot="1" x14ac:dyDescent="0.3">
      <c r="A60" s="6">
        <v>57</v>
      </c>
      <c r="B60" s="7">
        <v>900</v>
      </c>
      <c r="C60" s="8" t="s">
        <v>86</v>
      </c>
      <c r="D60" s="9">
        <v>217515</v>
      </c>
      <c r="E60" s="7" t="s">
        <v>9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10" t="s">
        <v>9</v>
      </c>
    </row>
    <row r="61" spans="1:17" ht="15.75" thickBot="1" x14ac:dyDescent="0.3">
      <c r="A61" s="6">
        <v>58</v>
      </c>
      <c r="B61" s="7">
        <v>901</v>
      </c>
      <c r="C61" s="8" t="s">
        <v>87</v>
      </c>
      <c r="D61" s="9">
        <v>98282</v>
      </c>
      <c r="E61" s="7" t="s">
        <v>9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10" t="s">
        <v>9</v>
      </c>
    </row>
    <row r="62" spans="1:17" ht="27.75" thickBot="1" x14ac:dyDescent="0.3">
      <c r="A62" s="263">
        <v>59</v>
      </c>
      <c r="B62" s="10">
        <v>7758</v>
      </c>
      <c r="C62" s="8" t="s">
        <v>88</v>
      </c>
      <c r="D62" s="12">
        <v>481381</v>
      </c>
      <c r="E62" s="10"/>
      <c r="F62" s="10"/>
      <c r="G62" s="10" t="s">
        <v>9</v>
      </c>
      <c r="H62" s="10"/>
      <c r="I62" s="10"/>
      <c r="J62" s="10"/>
      <c r="K62" s="10"/>
      <c r="L62" s="10"/>
      <c r="M62" s="10"/>
      <c r="N62" s="10"/>
      <c r="O62" s="10"/>
      <c r="P62" s="10"/>
      <c r="Q62" s="10" t="s">
        <v>83</v>
      </c>
    </row>
    <row r="63" spans="1:17" ht="27.75" thickBot="1" x14ac:dyDescent="0.3">
      <c r="A63" s="263">
        <v>60</v>
      </c>
      <c r="B63" s="10" t="s">
        <v>89</v>
      </c>
      <c r="C63" s="8" t="s">
        <v>90</v>
      </c>
      <c r="D63" s="12">
        <v>96232</v>
      </c>
      <c r="E63" s="10"/>
      <c r="F63" s="10"/>
      <c r="G63" s="10"/>
      <c r="H63" s="10" t="s">
        <v>9</v>
      </c>
      <c r="I63" s="10"/>
      <c r="J63" s="10"/>
      <c r="K63" s="10"/>
      <c r="L63" s="10"/>
      <c r="M63" s="10"/>
      <c r="N63" s="10"/>
      <c r="O63" s="10"/>
      <c r="P63" s="10"/>
      <c r="Q63" s="10" t="s">
        <v>91</v>
      </c>
    </row>
    <row r="64" spans="1:17" ht="33" customHeight="1" thickBot="1" x14ac:dyDescent="0.3">
      <c r="A64" s="263">
        <v>61</v>
      </c>
      <c r="B64" s="10" t="s">
        <v>92</v>
      </c>
      <c r="C64" s="8" t="s">
        <v>93</v>
      </c>
      <c r="D64" s="12">
        <v>82332</v>
      </c>
      <c r="E64" s="10"/>
      <c r="F64" s="10"/>
      <c r="G64" s="10"/>
      <c r="H64" s="10" t="s">
        <v>9</v>
      </c>
      <c r="I64" s="10"/>
      <c r="J64" s="10"/>
      <c r="K64" s="10"/>
      <c r="L64" s="10"/>
      <c r="M64" s="10"/>
      <c r="N64" s="10"/>
      <c r="O64" s="10"/>
      <c r="P64" s="10"/>
      <c r="Q64" s="10" t="s">
        <v>91</v>
      </c>
    </row>
    <row r="65" spans="1:21" ht="15.75" thickBot="1" x14ac:dyDescent="0.3">
      <c r="A65" s="263">
        <v>62</v>
      </c>
      <c r="B65" s="10">
        <v>10187</v>
      </c>
      <c r="C65" s="8" t="s">
        <v>94</v>
      </c>
      <c r="D65" s="12">
        <v>8941</v>
      </c>
      <c r="E65" s="7" t="s">
        <v>9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 t="s">
        <v>9</v>
      </c>
    </row>
    <row r="66" spans="1:21" ht="15.75" thickBot="1" x14ac:dyDescent="0.3">
      <c r="A66" s="263">
        <v>63</v>
      </c>
      <c r="B66" s="10">
        <v>10188</v>
      </c>
      <c r="C66" s="8" t="s">
        <v>94</v>
      </c>
      <c r="D66" s="12">
        <v>8941</v>
      </c>
      <c r="E66" s="7" t="s">
        <v>9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0" t="s">
        <v>9</v>
      </c>
    </row>
    <row r="67" spans="1:21" ht="15.75" thickBot="1" x14ac:dyDescent="0.3">
      <c r="A67" s="263">
        <v>64</v>
      </c>
      <c r="B67" s="10">
        <v>10189</v>
      </c>
      <c r="C67" s="8" t="s">
        <v>95</v>
      </c>
      <c r="D67" s="12">
        <v>8941</v>
      </c>
      <c r="E67" s="7" t="s">
        <v>9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0" t="s">
        <v>9</v>
      </c>
    </row>
    <row r="68" spans="1:21" ht="15.75" thickBot="1" x14ac:dyDescent="0.3">
      <c r="A68" s="263">
        <v>65</v>
      </c>
      <c r="B68" s="10">
        <v>10190</v>
      </c>
      <c r="C68" s="8" t="s">
        <v>95</v>
      </c>
      <c r="D68" s="12">
        <v>8941</v>
      </c>
      <c r="E68" s="7" t="s">
        <v>9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0" t="s">
        <v>9</v>
      </c>
    </row>
    <row r="69" spans="1:21" ht="15.75" thickBot="1" x14ac:dyDescent="0.3">
      <c r="A69" s="13"/>
      <c r="B69" s="10"/>
      <c r="C69" s="8" t="s">
        <v>96</v>
      </c>
      <c r="D69" s="12">
        <f>SUM(D4:D68)</f>
        <v>17298661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21" ht="24" customHeight="1" x14ac:dyDescent="0.25">
      <c r="C70" s="298" t="s">
        <v>423</v>
      </c>
      <c r="D70" s="14">
        <f>SUBTOTAL(9,D4:D68)</f>
        <v>17298661</v>
      </c>
      <c r="E70" s="14">
        <v>4592783</v>
      </c>
      <c r="F70" s="14">
        <v>1347482</v>
      </c>
      <c r="G70" s="14">
        <v>6287139</v>
      </c>
      <c r="H70" s="14">
        <v>178564</v>
      </c>
      <c r="I70" s="14">
        <v>2801587</v>
      </c>
      <c r="J70" s="14">
        <v>2453868</v>
      </c>
      <c r="K70" s="14">
        <v>768338</v>
      </c>
      <c r="L70" s="14"/>
      <c r="M70" s="14"/>
      <c r="N70" s="14"/>
      <c r="O70" s="14"/>
      <c r="P70" s="14"/>
    </row>
    <row r="71" spans="1:21" ht="15" customHeight="1" x14ac:dyDescent="0.25">
      <c r="D71" s="14">
        <f>D70-D62-D65-D66-D67-D68</f>
        <v>16781516</v>
      </c>
      <c r="E71" s="14">
        <f>E70-D65-D66-D67-D68</f>
        <v>4557019</v>
      </c>
      <c r="F71" s="14">
        <f>F70</f>
        <v>1347482</v>
      </c>
      <c r="G71" s="14">
        <f>G70-D62</f>
        <v>5805758</v>
      </c>
      <c r="H71" s="14">
        <f>H70</f>
        <v>178564</v>
      </c>
      <c r="I71" s="14">
        <f t="shared" ref="I71:K71" si="0">I70</f>
        <v>2801587</v>
      </c>
      <c r="J71" s="14">
        <f t="shared" si="0"/>
        <v>2453868</v>
      </c>
      <c r="K71" s="14">
        <f t="shared" si="0"/>
        <v>768338</v>
      </c>
      <c r="L71" s="14"/>
      <c r="M71" s="14"/>
      <c r="N71" s="14"/>
      <c r="O71" s="14"/>
      <c r="P71" s="14"/>
    </row>
    <row r="72" spans="1:21" ht="19.5" customHeight="1" x14ac:dyDescent="0.25">
      <c r="D72" s="14">
        <f>D70-D71</f>
        <v>517145</v>
      </c>
      <c r="E72" s="14">
        <f>E70-E71</f>
        <v>35764</v>
      </c>
      <c r="F72" s="14">
        <f>F70-F71</f>
        <v>0</v>
      </c>
      <c r="G72" s="14">
        <f t="shared" ref="G72:K72" si="1">G70-G71</f>
        <v>481381</v>
      </c>
      <c r="H72" s="14">
        <f t="shared" si="1"/>
        <v>0</v>
      </c>
      <c r="I72" s="14">
        <f t="shared" si="1"/>
        <v>0</v>
      </c>
      <c r="J72" s="14">
        <f t="shared" si="1"/>
        <v>0</v>
      </c>
      <c r="K72" s="14">
        <f t="shared" si="1"/>
        <v>0</v>
      </c>
      <c r="L72" s="14"/>
      <c r="M72" s="14"/>
      <c r="N72" s="14"/>
      <c r="O72" s="14"/>
      <c r="P72" s="14"/>
    </row>
    <row r="73" spans="1:21" ht="15.75" thickBot="1" x14ac:dyDescent="0.3"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21" ht="15.75" x14ac:dyDescent="0.25">
      <c r="C74" s="15"/>
      <c r="D74" s="16" t="s">
        <v>97</v>
      </c>
      <c r="E74" s="16"/>
      <c r="F74" s="16">
        <v>2020</v>
      </c>
      <c r="G74" s="16">
        <v>2021</v>
      </c>
      <c r="H74" s="16">
        <v>2022</v>
      </c>
      <c r="I74" s="16">
        <v>2023</v>
      </c>
      <c r="J74" s="16">
        <v>2024</v>
      </c>
      <c r="K74" s="16">
        <v>2025</v>
      </c>
      <c r="L74" s="16">
        <v>2026</v>
      </c>
      <c r="M74" s="16">
        <v>2027</v>
      </c>
      <c r="N74" s="16">
        <v>2028</v>
      </c>
      <c r="O74" s="16">
        <v>2029</v>
      </c>
      <c r="P74" s="17">
        <v>2030</v>
      </c>
      <c r="Q74" s="16">
        <v>2031</v>
      </c>
      <c r="R74" s="17">
        <v>2032</v>
      </c>
      <c r="S74" s="16">
        <v>2033</v>
      </c>
      <c r="T74" s="17">
        <v>2034</v>
      </c>
      <c r="U74" s="16">
        <v>2035</v>
      </c>
    </row>
    <row r="75" spans="1:21" ht="15.75" x14ac:dyDescent="0.25">
      <c r="C75" s="18" t="s">
        <v>432</v>
      </c>
      <c r="D75" s="19">
        <f>SUM(E75:P75)</f>
        <v>11569193.568000004</v>
      </c>
      <c r="E75" s="19"/>
      <c r="F75" s="19">
        <f>($D$71-F71)*0.067/12*8+F71*0.033</f>
        <v>733853.75800000003</v>
      </c>
      <c r="G75" s="19">
        <f t="shared" ref="G75:T75" si="2">($D$71-G71)*0.067+G71*0.033</f>
        <v>926965.8</v>
      </c>
      <c r="H75" s="19">
        <f t="shared" si="2"/>
        <v>1118290.3959999999</v>
      </c>
      <c r="I75" s="19">
        <f t="shared" si="2"/>
        <v>1029107.6140000001</v>
      </c>
      <c r="J75" s="19">
        <f t="shared" si="2"/>
        <v>1040930.06</v>
      </c>
      <c r="K75" s="19">
        <f t="shared" si="2"/>
        <v>1098238.08</v>
      </c>
      <c r="L75" s="19">
        <f t="shared" si="2"/>
        <v>1124361.5720000002</v>
      </c>
      <c r="M75" s="19">
        <f t="shared" si="2"/>
        <v>1124361.5720000002</v>
      </c>
      <c r="N75" s="19">
        <f t="shared" si="2"/>
        <v>1124361.5720000002</v>
      </c>
      <c r="O75" s="19">
        <f t="shared" si="2"/>
        <v>1124361.5720000002</v>
      </c>
      <c r="P75" s="19">
        <f t="shared" si="2"/>
        <v>1124361.5720000002</v>
      </c>
      <c r="Q75" s="19">
        <f t="shared" si="2"/>
        <v>1124361.5720000002</v>
      </c>
      <c r="R75" s="19">
        <f t="shared" si="2"/>
        <v>1124361.5720000002</v>
      </c>
      <c r="S75" s="19">
        <f t="shared" si="2"/>
        <v>1124361.5720000002</v>
      </c>
      <c r="T75" s="19">
        <f t="shared" si="2"/>
        <v>1124361.5720000002</v>
      </c>
      <c r="U75" s="19">
        <f>($D$71-U71)*0.067+U71*0.033-754179+344694</f>
        <v>714876.57200000016</v>
      </c>
    </row>
    <row r="76" spans="1:21" ht="16.5" thickBot="1" x14ac:dyDescent="0.3">
      <c r="C76" s="21" t="s">
        <v>431</v>
      </c>
      <c r="D76" s="22">
        <f>SUM(E76:P76)</f>
        <v>517144.56666666665</v>
      </c>
      <c r="E76" s="22"/>
      <c r="F76" s="22">
        <f>($D$72-F72)*0.2/12*8+F72*0.1</f>
        <v>68952.666666666672</v>
      </c>
      <c r="G76" s="22">
        <f>($D$72-G72)*0.2+G72*0.1</f>
        <v>55290.900000000009</v>
      </c>
      <c r="H76" s="22">
        <f>($D$72-H72)*0.2+H72*0.1</f>
        <v>103429</v>
      </c>
      <c r="I76" s="22">
        <f>($D$72-I72)*0.2+I72*0.1</f>
        <v>103429</v>
      </c>
      <c r="J76" s="22">
        <f>($D$72-J72)*0.2+J72*0.1</f>
        <v>103429</v>
      </c>
      <c r="K76" s="22">
        <f>48138+34476</f>
        <v>82614</v>
      </c>
      <c r="L76" s="22"/>
      <c r="M76" s="22"/>
      <c r="N76" s="22"/>
      <c r="O76" s="22"/>
      <c r="P76" s="23"/>
      <c r="Q76" s="14">
        <f>D72-D76</f>
        <v>0.43333333334885538</v>
      </c>
    </row>
    <row r="77" spans="1:21" ht="16.5" thickBot="1" x14ac:dyDescent="0.3">
      <c r="C77" s="24" t="s">
        <v>100</v>
      </c>
      <c r="D77" s="25">
        <f>SUM(D75:D76)</f>
        <v>12086338.13466667</v>
      </c>
      <c r="E77" s="25">
        <f t="shared" ref="E77:P77" si="3">SUM(E75:E76)</f>
        <v>0</v>
      </c>
      <c r="F77" s="25">
        <f t="shared" si="3"/>
        <v>802806.42466666666</v>
      </c>
      <c r="G77" s="25">
        <f t="shared" si="3"/>
        <v>982256.70000000007</v>
      </c>
      <c r="H77" s="25">
        <f t="shared" si="3"/>
        <v>1221719.3959999999</v>
      </c>
      <c r="I77" s="25">
        <f t="shared" si="3"/>
        <v>1132536.6140000001</v>
      </c>
      <c r="J77" s="25">
        <f t="shared" si="3"/>
        <v>1144359.06</v>
      </c>
      <c r="K77" s="25">
        <f t="shared" si="3"/>
        <v>1180852.08</v>
      </c>
      <c r="L77" s="25">
        <f t="shared" si="3"/>
        <v>1124361.5720000002</v>
      </c>
      <c r="M77" s="25">
        <f t="shared" si="3"/>
        <v>1124361.5720000002</v>
      </c>
      <c r="N77" s="25">
        <f t="shared" si="3"/>
        <v>1124361.5720000002</v>
      </c>
      <c r="O77" s="25">
        <f t="shared" si="3"/>
        <v>1124361.5720000002</v>
      </c>
      <c r="P77" s="25">
        <f t="shared" si="3"/>
        <v>1124361.5720000002</v>
      </c>
    </row>
  </sheetData>
  <autoFilter ref="A2:Q72"/>
  <mergeCells count="3">
    <mergeCell ref="B2:B3"/>
    <mergeCell ref="C2:C3"/>
    <mergeCell ref="Q2:Q3"/>
  </mergeCells>
  <pageMargins left="0.7" right="0.7" top="0.75" bottom="0.75" header="0.3" footer="0.3"/>
  <pageSetup paperSize="8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workbookViewId="0"/>
  </sheetViews>
  <sheetFormatPr defaultRowHeight="15" x14ac:dyDescent="0.25"/>
  <cols>
    <col min="1" max="1" width="41.7109375" style="1" customWidth="1"/>
    <col min="2" max="2" width="13.5703125" style="1" customWidth="1"/>
    <col min="3" max="4" width="10.140625" style="1" hidden="1" customWidth="1"/>
    <col min="5" max="14" width="10.140625" style="1" bestFit="1" customWidth="1"/>
    <col min="15" max="15" width="9.140625" style="1"/>
    <col min="16" max="16" width="8.85546875" style="1" customWidth="1"/>
    <col min="17" max="22" width="9.140625" style="1" customWidth="1"/>
    <col min="23" max="16384" width="9.140625" style="1"/>
  </cols>
  <sheetData>
    <row r="1" spans="1:22" ht="19.5" thickBot="1" x14ac:dyDescent="0.35">
      <c r="A1" s="264" t="s">
        <v>421</v>
      </c>
    </row>
    <row r="2" spans="1:22" ht="16.5" thickBot="1" x14ac:dyDescent="0.3">
      <c r="A2" s="291"/>
      <c r="B2" s="292" t="s">
        <v>97</v>
      </c>
      <c r="C2" s="292">
        <v>2018</v>
      </c>
      <c r="D2" s="292">
        <v>2019</v>
      </c>
      <c r="E2" s="292">
        <v>2020</v>
      </c>
      <c r="F2" s="292">
        <v>2021</v>
      </c>
      <c r="G2" s="292">
        <v>2022</v>
      </c>
      <c r="H2" s="292">
        <v>2023</v>
      </c>
      <c r="I2" s="292">
        <v>2024</v>
      </c>
      <c r="J2" s="292">
        <v>2025</v>
      </c>
      <c r="K2" s="292">
        <v>2026</v>
      </c>
      <c r="L2" s="292">
        <v>2027</v>
      </c>
      <c r="M2" s="292">
        <v>2028</v>
      </c>
      <c r="N2" s="292">
        <v>2029</v>
      </c>
      <c r="O2" s="293">
        <v>2030</v>
      </c>
    </row>
    <row r="3" spans="1:22" x14ac:dyDescent="0.25">
      <c r="A3" s="281" t="s">
        <v>414</v>
      </c>
      <c r="B3" s="283">
        <v>10</v>
      </c>
      <c r="C3" s="283"/>
      <c r="D3" s="283"/>
      <c r="E3" s="283"/>
      <c r="F3" s="283"/>
      <c r="G3" s="283"/>
      <c r="H3" s="283"/>
      <c r="I3" s="283"/>
      <c r="J3" s="283"/>
      <c r="K3" s="282"/>
      <c r="L3" s="282"/>
      <c r="M3" s="283"/>
      <c r="N3" s="283"/>
      <c r="O3" s="290"/>
    </row>
    <row r="4" spans="1:22" x14ac:dyDescent="0.25">
      <c r="A4" s="268" t="s">
        <v>418</v>
      </c>
      <c r="B4" s="266">
        <f>SUM(C4:O4)</f>
        <v>61053.924999999996</v>
      </c>
      <c r="C4" s="266">
        <f>' Фінплан освоєння '!N16</f>
        <v>5906.616</v>
      </c>
      <c r="D4" s="266">
        <v>0</v>
      </c>
      <c r="E4" s="266">
        <f>' Фінплан освоєння '!O16+' Фінплан освоєння '!O17+' Фінплан освоєння '!O18</f>
        <v>14700.688</v>
      </c>
      <c r="F4" s="266">
        <f>' Фінплан освоєння '!P16+' Фінплан освоєння '!P17+' Фінплан освоєння '!P18</f>
        <v>14004.093000000001</v>
      </c>
      <c r="G4" s="266">
        <f>' Фінплан освоєння '!Q16+' Фінплан освоєння '!Q17+' Фінплан освоєння '!Q18</f>
        <v>0</v>
      </c>
      <c r="H4" s="266">
        <f>' Фінплан освоєння '!R16+' Фінплан освоєння '!R17+' Фінплан освоєння '!R18</f>
        <v>11325.534</v>
      </c>
      <c r="I4" s="266">
        <f>' Фінплан освоєння '!S16+' Фінплан освоєння '!S17+' Фінплан освоєння '!S18</f>
        <v>9204.5110000000004</v>
      </c>
      <c r="J4" s="266">
        <f>' Фінплан освоєння '!T16+' Фінплан освоєння '!T17+' Фінплан освоєння '!T18</f>
        <v>5912.4830000000002</v>
      </c>
      <c r="K4" s="266">
        <v>0</v>
      </c>
      <c r="L4" s="266">
        <v>0</v>
      </c>
      <c r="M4" s="266">
        <v>0</v>
      </c>
      <c r="N4" s="266">
        <v>0</v>
      </c>
      <c r="O4" s="269">
        <v>0</v>
      </c>
    </row>
    <row r="5" spans="1:22" x14ac:dyDescent="0.25">
      <c r="A5" s="268" t="s">
        <v>419</v>
      </c>
      <c r="B5" s="266"/>
      <c r="C5" s="266">
        <f>C4</f>
        <v>5906.616</v>
      </c>
      <c r="D5" s="266">
        <f>C5+D4</f>
        <v>5906.616</v>
      </c>
      <c r="E5" s="266">
        <f>D5+E4</f>
        <v>20607.304</v>
      </c>
      <c r="F5" s="266">
        <f>E5+F4</f>
        <v>34611.396999999997</v>
      </c>
      <c r="G5" s="266">
        <f t="shared" ref="G5:I5" si="0">F5+G4</f>
        <v>34611.396999999997</v>
      </c>
      <c r="H5" s="266">
        <f t="shared" si="0"/>
        <v>45936.930999999997</v>
      </c>
      <c r="I5" s="266">
        <f t="shared" si="0"/>
        <v>55141.441999999995</v>
      </c>
      <c r="J5" s="266">
        <f>I5+J4</f>
        <v>61053.924999999996</v>
      </c>
      <c r="K5" s="266">
        <f t="shared" ref="K5:O5" si="1">J5+K4</f>
        <v>61053.924999999996</v>
      </c>
      <c r="L5" s="266">
        <f t="shared" si="1"/>
        <v>61053.924999999996</v>
      </c>
      <c r="M5" s="266">
        <f t="shared" si="1"/>
        <v>61053.924999999996</v>
      </c>
      <c r="N5" s="266">
        <f t="shared" si="1"/>
        <v>61053.924999999996</v>
      </c>
      <c r="O5" s="269">
        <f t="shared" si="1"/>
        <v>61053.924999999996</v>
      </c>
      <c r="P5" s="14">
        <f t="shared" ref="P5" si="2">O5+P4</f>
        <v>61053.924999999996</v>
      </c>
      <c r="Q5" s="14">
        <f t="shared" ref="Q5" si="3">P5+Q4</f>
        <v>61053.924999999996</v>
      </c>
      <c r="R5" s="14">
        <f t="shared" ref="R5" si="4">Q5+R4</f>
        <v>61053.924999999996</v>
      </c>
      <c r="S5" s="14">
        <f t="shared" ref="S5" si="5">R5+S4</f>
        <v>61053.924999999996</v>
      </c>
      <c r="T5" s="14">
        <f t="shared" ref="T5" si="6">S5+T4</f>
        <v>61053.924999999996</v>
      </c>
      <c r="U5" s="14">
        <f t="shared" ref="U5" si="7">T5+U4</f>
        <v>61053.924999999996</v>
      </c>
      <c r="V5" s="14">
        <f t="shared" ref="V5" si="8">U5+V4</f>
        <v>61053.924999999996</v>
      </c>
    </row>
    <row r="6" spans="1:22" ht="15.75" thickBot="1" x14ac:dyDescent="0.3">
      <c r="A6" s="285" t="s">
        <v>420</v>
      </c>
      <c r="B6" s="270">
        <f>SUM(C6:O6)</f>
        <v>49749.382616666669</v>
      </c>
      <c r="C6" s="270"/>
      <c r="D6" s="270"/>
      <c r="E6" s="270">
        <f>E4/$B$3/12*2+(E5-E4)/$B$3/12*8</f>
        <v>638.78586666666672</v>
      </c>
      <c r="F6" s="270">
        <f>F4/$B$3/12*2+((F5-F4)/$B$3)</f>
        <v>2294.1319499999995</v>
      </c>
      <c r="G6" s="270">
        <f>G4/$B$3/12*2+((G5-G4)/$B$3)</f>
        <v>3461.1396999999997</v>
      </c>
      <c r="H6" s="270">
        <f>H4/$B$3/12*2+((H5-H4)/$B$3)</f>
        <v>3649.8985999999995</v>
      </c>
      <c r="I6" s="270">
        <f>I4/$B$3/12*2+(I5-I4)/$B$3</f>
        <v>4747.1016166666659</v>
      </c>
      <c r="J6" s="270">
        <f>J4/$B$3/12*2+(J5-J4)/$B$3</f>
        <v>5612.6855833333329</v>
      </c>
      <c r="K6" s="270">
        <f>K4/$B$3/12*2+(K5-K4)/$B$3</f>
        <v>6105.3924999999999</v>
      </c>
      <c r="L6" s="270">
        <f>L4/$B$3/12*2+(L5-L4)/$B$3</f>
        <v>6105.3924999999999</v>
      </c>
      <c r="M6" s="270">
        <f>M4/$B$3/12*2+(M5-M4)/$B$3</f>
        <v>6105.3924999999999</v>
      </c>
      <c r="N6" s="270">
        <f>N4/$B$3/12*2+(N5-N4-C5)/$B$3</f>
        <v>5514.7308999999996</v>
      </c>
      <c r="O6" s="272">
        <f>O4/$B$3/12*2+(O5-O4-D5)/$B$3</f>
        <v>5514.7308999999996</v>
      </c>
      <c r="P6" s="14">
        <f>P4/$B$3/12*2+(P5-P4-E5)/$B$3</f>
        <v>4044.6621</v>
      </c>
      <c r="Q6" s="14">
        <f t="shared" ref="Q6:R6" si="9">Q4/$B$3/12*2+(Q5-Q4-F5)/$B$3</f>
        <v>2644.2527999999998</v>
      </c>
      <c r="R6" s="14">
        <f t="shared" si="9"/>
        <v>2644.2527999999998</v>
      </c>
      <c r="S6" s="14">
        <f>S4/$B$3/12*2+(S5-S4-H5)/$B$3</f>
        <v>1511.6994</v>
      </c>
      <c r="T6" s="14">
        <f>(T4/$B$3/12*2+(T5-T4-I5)/$B$3)/12*10-230+197</f>
        <v>459.70691666666664</v>
      </c>
      <c r="U6" s="14">
        <f>U4/$B$3/12*2+(U5-U4-J5)/$B$3</f>
        <v>0</v>
      </c>
    </row>
    <row r="7" spans="1:22" x14ac:dyDescent="0.25">
      <c r="A7" s="281" t="s">
        <v>415</v>
      </c>
      <c r="B7" s="283">
        <v>5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90"/>
    </row>
    <row r="8" spans="1:22" x14ac:dyDescent="0.25">
      <c r="A8" s="268" t="s">
        <v>418</v>
      </c>
      <c r="B8" s="266">
        <f>SUM(C8:O8)</f>
        <v>4941.7069999999994</v>
      </c>
      <c r="C8" s="266">
        <f>' Фінплан освоєння '!N19+' Фінплан освоєння '!N20+' Фінплан освоєння '!N21+' Фінплан освоєння '!N22</f>
        <v>0</v>
      </c>
      <c r="D8" s="266"/>
      <c r="E8" s="266">
        <f>' Фінплан освоєння '!O19+' Фінплан освоєння '!O20+' Фінплан освоєння '!O21+' Фінплан освоєння '!O22</f>
        <v>20.574000000000002</v>
      </c>
      <c r="F8" s="266">
        <f>' Фінплан освоєння '!P19+' Фінплан освоєння '!P20+' Фінплан освоєння '!P21+' Фінплан освоєння '!P22</f>
        <v>232.75299999999999</v>
      </c>
      <c r="G8" s="266">
        <f>' Фінплан освоєння '!Q19+' Фінплан освоєння '!Q20+' Фінплан освоєння '!Q21+' Фінплан освоєння '!Q22</f>
        <v>0</v>
      </c>
      <c r="H8" s="266">
        <f>' Фінплан освоєння '!R19+' Фінплан освоєння '!R20+' Фінплан освоєння '!R21+' Фінплан освоєння '!R22</f>
        <v>1737.0039999999999</v>
      </c>
      <c r="I8" s="266">
        <f>' Фінплан освоєння '!S19+' Фінплан освоєння '!S20+' Фінплан освоєння '!S21+' Фінплан освоєння '!S22</f>
        <v>1023.846</v>
      </c>
      <c r="J8" s="266">
        <f>' Фінплан освоєння '!T19+' Фінплан освоєння '!T20+' Фінплан освоєння '!T21+' Фінплан освоєння '!T22</f>
        <v>1927.53</v>
      </c>
      <c r="K8" s="265"/>
      <c r="L8" s="265"/>
      <c r="M8" s="265"/>
      <c r="N8" s="265"/>
      <c r="O8" s="267"/>
    </row>
    <row r="9" spans="1:22" x14ac:dyDescent="0.25">
      <c r="A9" s="268" t="s">
        <v>419</v>
      </c>
      <c r="B9" s="266"/>
      <c r="C9" s="266"/>
      <c r="D9" s="266"/>
      <c r="E9" s="266">
        <f>E8</f>
        <v>20.574000000000002</v>
      </c>
      <c r="F9" s="266">
        <f>F8+E9</f>
        <v>253.327</v>
      </c>
      <c r="G9" s="266">
        <f>G8+F9</f>
        <v>253.327</v>
      </c>
      <c r="H9" s="266">
        <f>H8+G9</f>
        <v>1990.3309999999999</v>
      </c>
      <c r="I9" s="266">
        <f t="shared" ref="I9:O9" si="10">I8+H9</f>
        <v>3014.1769999999997</v>
      </c>
      <c r="J9" s="266">
        <f>J8+I9</f>
        <v>4941.7069999999994</v>
      </c>
      <c r="K9" s="266">
        <f t="shared" si="10"/>
        <v>4941.7069999999994</v>
      </c>
      <c r="L9" s="266">
        <f t="shared" si="10"/>
        <v>4941.7069999999994</v>
      </c>
      <c r="M9" s="266">
        <f t="shared" si="10"/>
        <v>4941.7069999999994</v>
      </c>
      <c r="N9" s="266">
        <f t="shared" si="10"/>
        <v>4941.7069999999994</v>
      </c>
      <c r="O9" s="269">
        <f t="shared" si="10"/>
        <v>4941.7069999999994</v>
      </c>
      <c r="P9" s="14"/>
    </row>
    <row r="10" spans="1:22" ht="15.75" thickBot="1" x14ac:dyDescent="0.3">
      <c r="A10" s="285" t="s">
        <v>420</v>
      </c>
      <c r="B10" s="270">
        <f>SUM(C10:O10)</f>
        <v>4942.1795666666667</v>
      </c>
      <c r="C10" s="270"/>
      <c r="D10" s="270"/>
      <c r="E10" s="270">
        <f t="shared" ref="E10:J10" si="11">E8/$B$7/12*2+(E9-E8)/$B$7</f>
        <v>0.68580000000000008</v>
      </c>
      <c r="F10" s="270">
        <f t="shared" si="11"/>
        <v>11.873233333333335</v>
      </c>
      <c r="G10" s="270">
        <f t="shared" si="11"/>
        <v>50.665399999999998</v>
      </c>
      <c r="H10" s="270">
        <f t="shared" si="11"/>
        <v>108.56553333333333</v>
      </c>
      <c r="I10" s="270">
        <f t="shared" si="11"/>
        <v>432.19439999999992</v>
      </c>
      <c r="J10" s="270">
        <f t="shared" si="11"/>
        <v>667.08639999999991</v>
      </c>
      <c r="K10" s="270">
        <f>K8/$B$7/12*2+(K9-K8-E9)/$B$7</f>
        <v>984.22659999999996</v>
      </c>
      <c r="L10" s="270">
        <f>L8/$B$7/12*2+(L9-L8-F9)/$B$7</f>
        <v>937.67599999999982</v>
      </c>
      <c r="M10" s="270">
        <f>M8/$B$7/12*2+(M9-M8-G9)/$B$7</f>
        <v>937.67599999999982</v>
      </c>
      <c r="N10" s="270">
        <f>N8/$B$7/12*2+(N9-N8-H9)/$B$7</f>
        <v>590.27519999999981</v>
      </c>
      <c r="O10" s="272">
        <f>(O8/$B$7/12*2+(O9-O8-I9)/$B$7)/12*10-100</f>
        <v>221.25499999999994</v>
      </c>
      <c r="P10" s="14"/>
    </row>
    <row r="11" spans="1:22" x14ac:dyDescent="0.25">
      <c r="A11" s="287" t="s">
        <v>416</v>
      </c>
      <c r="B11" s="288">
        <v>4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9"/>
    </row>
    <row r="12" spans="1:22" x14ac:dyDescent="0.25">
      <c r="A12" s="268" t="s">
        <v>418</v>
      </c>
      <c r="B12" s="266">
        <f>SUM(C12:O12)</f>
        <v>8056.1570000000002</v>
      </c>
      <c r="C12" s="266">
        <f>' Фінплан освоєння '!N25+' Фінплан освоєння '!N26</f>
        <v>0</v>
      </c>
      <c r="D12" s="266"/>
      <c r="E12" s="266">
        <f>' Фінплан освоєння '!O25+' Фінплан освоєння '!O26</f>
        <v>8056.1570000000002</v>
      </c>
      <c r="F12" s="266">
        <f>' Фінплан освоєння '!P25+' Фінплан освоєння '!P26</f>
        <v>0</v>
      </c>
      <c r="G12" s="266">
        <f>' Фінплан освоєння '!Q25+' Фінплан освоєння '!Q26</f>
        <v>0</v>
      </c>
      <c r="H12" s="266">
        <f>' Фінплан освоєння '!R25+' Фінплан освоєння '!R26</f>
        <v>0</v>
      </c>
      <c r="I12" s="266">
        <f>' Фінплан освоєння '!S25+' Фінплан освоєння '!S26</f>
        <v>0</v>
      </c>
      <c r="J12" s="266">
        <f>' Фінплан освоєння '!T25+' Фінплан освоєння '!T26</f>
        <v>0</v>
      </c>
      <c r="K12" s="265"/>
      <c r="L12" s="265"/>
      <c r="M12" s="265"/>
      <c r="N12" s="265"/>
      <c r="O12" s="267"/>
    </row>
    <row r="13" spans="1:22" x14ac:dyDescent="0.25">
      <c r="A13" s="268" t="s">
        <v>419</v>
      </c>
      <c r="B13" s="266"/>
      <c r="C13" s="266"/>
      <c r="D13" s="266"/>
      <c r="E13" s="266">
        <f>E12</f>
        <v>8056.1570000000002</v>
      </c>
      <c r="F13" s="266">
        <f>F12+E13</f>
        <v>8056.1570000000002</v>
      </c>
      <c r="G13" s="266">
        <f t="shared" ref="G13:O13" si="12">G12+F13</f>
        <v>8056.1570000000002</v>
      </c>
      <c r="H13" s="266">
        <f t="shared" si="12"/>
        <v>8056.1570000000002</v>
      </c>
      <c r="I13" s="266">
        <f t="shared" si="12"/>
        <v>8056.1570000000002</v>
      </c>
      <c r="J13" s="266">
        <f t="shared" si="12"/>
        <v>8056.1570000000002</v>
      </c>
      <c r="K13" s="266">
        <f t="shared" si="12"/>
        <v>8056.1570000000002</v>
      </c>
      <c r="L13" s="266">
        <f t="shared" si="12"/>
        <v>8056.1570000000002</v>
      </c>
      <c r="M13" s="266">
        <f t="shared" si="12"/>
        <v>8056.1570000000002</v>
      </c>
      <c r="N13" s="266">
        <f t="shared" si="12"/>
        <v>8056.1570000000002</v>
      </c>
      <c r="O13" s="269">
        <f t="shared" si="12"/>
        <v>8056.1570000000002</v>
      </c>
    </row>
    <row r="14" spans="1:22" ht="15.75" thickBot="1" x14ac:dyDescent="0.3">
      <c r="A14" s="273" t="s">
        <v>420</v>
      </c>
      <c r="B14" s="274">
        <f>SUM(C14:O14)</f>
        <v>8056.1569999999992</v>
      </c>
      <c r="C14" s="274"/>
      <c r="D14" s="274"/>
      <c r="E14" s="274">
        <f>E12/$B$11/12*2+(E13-E12)/$B$11</f>
        <v>335.67320833333332</v>
      </c>
      <c r="F14" s="274">
        <f>F12/$B$11/12*2+(F13-F12)/$B$11</f>
        <v>2014.03925</v>
      </c>
      <c r="G14" s="274">
        <f t="shared" ref="G14:H14" si="13">G12/$B$11/12*2+(G13-G12)/$B$11</f>
        <v>2014.03925</v>
      </c>
      <c r="H14" s="274">
        <f t="shared" si="13"/>
        <v>2014.03925</v>
      </c>
      <c r="I14" s="274">
        <f>(I12/$B$11/12*2+(I13-I12)/$B$11)/12*10</f>
        <v>1678.3660416666667</v>
      </c>
      <c r="J14" s="274"/>
      <c r="K14" s="275"/>
      <c r="L14" s="275"/>
      <c r="M14" s="275"/>
      <c r="N14" s="275"/>
      <c r="O14" s="276"/>
    </row>
    <row r="15" spans="1:22" x14ac:dyDescent="0.25">
      <c r="A15" s="281" t="s">
        <v>417</v>
      </c>
      <c r="B15" s="282">
        <v>2</v>
      </c>
      <c r="C15" s="283"/>
      <c r="D15" s="283"/>
      <c r="E15" s="283"/>
      <c r="F15" s="283"/>
      <c r="G15" s="283"/>
      <c r="H15" s="283"/>
      <c r="I15" s="283"/>
      <c r="J15" s="283"/>
      <c r="K15" s="282"/>
      <c r="L15" s="282"/>
      <c r="M15" s="282"/>
      <c r="N15" s="282"/>
      <c r="O15" s="284"/>
    </row>
    <row r="16" spans="1:22" x14ac:dyDescent="0.25">
      <c r="A16" s="268" t="s">
        <v>418</v>
      </c>
      <c r="B16" s="266">
        <f>SUM(C16:O16)</f>
        <v>4297.4350000000004</v>
      </c>
      <c r="C16" s="266">
        <f>' Фінплан освоєння '!N29</f>
        <v>0</v>
      </c>
      <c r="D16" s="266"/>
      <c r="E16" s="266">
        <f>' Фінплан освоєння '!O29</f>
        <v>0</v>
      </c>
      <c r="F16" s="266">
        <f>' Фінплан освоєння '!P29</f>
        <v>0</v>
      </c>
      <c r="G16" s="266">
        <f>' Фінплан освоєння '!Q29</f>
        <v>4297.4350000000004</v>
      </c>
      <c r="H16" s="266">
        <f>' Фінплан освоєння '!R29</f>
        <v>0</v>
      </c>
      <c r="I16" s="266">
        <f>' Фінплан освоєння '!S29</f>
        <v>0</v>
      </c>
      <c r="J16" s="266">
        <f>' Фінплан освоєння '!T29</f>
        <v>0</v>
      </c>
      <c r="K16" s="266"/>
      <c r="L16" s="266"/>
      <c r="M16" s="266"/>
      <c r="N16" s="266"/>
      <c r="O16" s="269"/>
    </row>
    <row r="17" spans="1:22" x14ac:dyDescent="0.25">
      <c r="A17" s="268" t="s">
        <v>419</v>
      </c>
      <c r="B17" s="265"/>
      <c r="C17" s="265"/>
      <c r="D17" s="265"/>
      <c r="E17" s="265"/>
      <c r="F17" s="265"/>
      <c r="G17" s="266">
        <f>G16</f>
        <v>4297.4350000000004</v>
      </c>
      <c r="H17" s="266">
        <f>H16+G17</f>
        <v>4297.4350000000004</v>
      </c>
      <c r="I17" s="266">
        <f t="shared" ref="I17:O17" si="14">I16+H17</f>
        <v>4297.4350000000004</v>
      </c>
      <c r="J17" s="266">
        <f t="shared" si="14"/>
        <v>4297.4350000000004</v>
      </c>
      <c r="K17" s="266">
        <f t="shared" si="14"/>
        <v>4297.4350000000004</v>
      </c>
      <c r="L17" s="266">
        <f t="shared" si="14"/>
        <v>4297.4350000000004</v>
      </c>
      <c r="M17" s="266">
        <f t="shared" si="14"/>
        <v>4297.4350000000004</v>
      </c>
      <c r="N17" s="266">
        <f t="shared" si="14"/>
        <v>4297.4350000000004</v>
      </c>
      <c r="O17" s="269">
        <f t="shared" si="14"/>
        <v>4297.4350000000004</v>
      </c>
    </row>
    <row r="18" spans="1:22" ht="15.75" thickBot="1" x14ac:dyDescent="0.3">
      <c r="A18" s="285" t="s">
        <v>420</v>
      </c>
      <c r="B18" s="270">
        <f>SUM(C18:O18)</f>
        <v>4297.4350000000004</v>
      </c>
      <c r="C18" s="271"/>
      <c r="D18" s="271"/>
      <c r="E18" s="271"/>
      <c r="F18" s="271"/>
      <c r="G18" s="270">
        <f>G16/$B$15/12*2+(G17-G16)/$B$15</f>
        <v>358.11958333333337</v>
      </c>
      <c r="H18" s="270">
        <f>H16/$B$15/12*2+(H17-H16)/$B$15</f>
        <v>2148.7175000000002</v>
      </c>
      <c r="I18" s="270">
        <f>(I16/$B$15/12*2+(I17-I16)/$B$15)/12*10</f>
        <v>1790.5979166666668</v>
      </c>
      <c r="J18" s="271"/>
      <c r="K18" s="271"/>
      <c r="L18" s="271"/>
      <c r="M18" s="271"/>
      <c r="N18" s="271"/>
      <c r="O18" s="286"/>
    </row>
    <row r="19" spans="1:22" ht="15.75" thickBot="1" x14ac:dyDescent="0.3">
      <c r="A19" s="277" t="s">
        <v>422</v>
      </c>
      <c r="B19" s="278">
        <f>SUM(C19:O19)</f>
        <v>67045.154183333332</v>
      </c>
      <c r="C19" s="279"/>
      <c r="D19" s="279"/>
      <c r="E19" s="278">
        <f>E6+E10+E14+E18</f>
        <v>975.14487499999996</v>
      </c>
      <c r="F19" s="278">
        <f t="shared" ref="F19:O19" si="15">F6+F10+F14+F18</f>
        <v>4320.0444333333326</v>
      </c>
      <c r="G19" s="278">
        <f t="shared" si="15"/>
        <v>5883.9639333333325</v>
      </c>
      <c r="H19" s="278">
        <f t="shared" si="15"/>
        <v>7921.2208833333334</v>
      </c>
      <c r="I19" s="278">
        <f t="shared" si="15"/>
        <v>8648.2599750000008</v>
      </c>
      <c r="J19" s="278">
        <f t="shared" si="15"/>
        <v>6279.7719833333331</v>
      </c>
      <c r="K19" s="278">
        <f t="shared" si="15"/>
        <v>7089.6190999999999</v>
      </c>
      <c r="L19" s="278">
        <f t="shared" si="15"/>
        <v>7043.0684999999994</v>
      </c>
      <c r="M19" s="278">
        <f t="shared" si="15"/>
        <v>7043.0684999999994</v>
      </c>
      <c r="N19" s="278">
        <f t="shared" si="15"/>
        <v>6105.0060999999996</v>
      </c>
      <c r="O19" s="280">
        <f t="shared" si="15"/>
        <v>5735.9858999999997</v>
      </c>
      <c r="P19" s="14">
        <f t="shared" ref="P19" si="16">P6+P10+P14+P18</f>
        <v>4044.6621</v>
      </c>
      <c r="Q19" s="14">
        <f t="shared" ref="Q19" si="17">Q6+Q10+Q14+Q18</f>
        <v>2644.2527999999998</v>
      </c>
      <c r="R19" s="14">
        <f t="shared" ref="R19" si="18">R6+R10+R14+R18</f>
        <v>2644.2527999999998</v>
      </c>
      <c r="S19" s="14">
        <f t="shared" ref="S19" si="19">S6+S10+S14+S18</f>
        <v>1511.6994</v>
      </c>
      <c r="T19" s="14">
        <f t="shared" ref="T19" si="20">T6+T10+T14+T18</f>
        <v>459.70691666666664</v>
      </c>
      <c r="U19" s="14">
        <f t="shared" ref="U19" si="21">U6+U10+U14+U18</f>
        <v>0</v>
      </c>
      <c r="V19" s="14">
        <f t="shared" ref="V19" si="22">V6+V10+V14+V18</f>
        <v>0</v>
      </c>
    </row>
    <row r="22" spans="1:22" x14ac:dyDescent="0.25">
      <c r="A22" s="310"/>
    </row>
  </sheetData>
  <pageMargins left="0.7" right="0.7" top="0.75" bottom="0.75" header="0.3" footer="0.3"/>
  <pageSetup paperSize="8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topLeftCell="A10" workbookViewId="0">
      <selection activeCell="D28" sqref="D28"/>
    </sheetView>
  </sheetViews>
  <sheetFormatPr defaultRowHeight="15" x14ac:dyDescent="0.25"/>
  <cols>
    <col min="1" max="1" width="41.7109375" style="1" customWidth="1"/>
    <col min="2" max="2" width="16" style="1" customWidth="1"/>
    <col min="3" max="3" width="16.42578125" style="1" customWidth="1"/>
    <col min="4" max="5" width="10.140625" style="1" customWidth="1"/>
    <col min="6" max="15" width="10.140625" style="1" bestFit="1" customWidth="1"/>
    <col min="16" max="16" width="11.140625" style="1" customWidth="1"/>
    <col min="17" max="17" width="8.85546875" style="1" customWidth="1"/>
    <col min="18" max="23" width="9.140625" style="1" customWidth="1"/>
    <col min="24" max="16384" width="9.140625" style="1"/>
  </cols>
  <sheetData>
    <row r="1" spans="1:31" ht="19.5" thickBot="1" x14ac:dyDescent="0.35">
      <c r="A1" s="264" t="s">
        <v>529</v>
      </c>
    </row>
    <row r="2" spans="1:31" ht="78.75" customHeight="1" thickBot="1" x14ac:dyDescent="0.3">
      <c r="A2" s="291"/>
      <c r="B2" s="350" t="s">
        <v>445</v>
      </c>
      <c r="C2" s="350" t="s">
        <v>444</v>
      </c>
      <c r="D2" s="292">
        <v>2018</v>
      </c>
      <c r="E2" s="292">
        <v>2019</v>
      </c>
      <c r="F2" s="292">
        <v>2020</v>
      </c>
      <c r="G2" s="292">
        <v>2021</v>
      </c>
      <c r="H2" s="292">
        <v>2022</v>
      </c>
      <c r="I2" s="292">
        <v>2023</v>
      </c>
      <c r="J2" s="292">
        <v>2024</v>
      </c>
      <c r="K2" s="292">
        <v>2025</v>
      </c>
      <c r="L2" s="292">
        <v>2026</v>
      </c>
      <c r="M2" s="292">
        <v>2027</v>
      </c>
      <c r="N2" s="292">
        <v>2028</v>
      </c>
      <c r="O2" s="292">
        <v>2029</v>
      </c>
      <c r="P2" s="293">
        <v>2030</v>
      </c>
    </row>
    <row r="3" spans="1:31" x14ac:dyDescent="0.25">
      <c r="A3" s="281" t="s">
        <v>433</v>
      </c>
      <c r="B3" s="283">
        <v>15</v>
      </c>
      <c r="C3" s="283"/>
      <c r="D3" s="283"/>
      <c r="E3" s="283"/>
      <c r="F3" s="283"/>
      <c r="G3" s="283"/>
      <c r="H3" s="283"/>
      <c r="I3" s="283"/>
      <c r="J3" s="283"/>
      <c r="K3" s="283"/>
      <c r="L3" s="282"/>
      <c r="M3" s="282"/>
      <c r="N3" s="283"/>
      <c r="O3" s="283"/>
      <c r="P3" s="290"/>
    </row>
    <row r="4" spans="1:31" x14ac:dyDescent="0.25">
      <c r="A4" s="268" t="s">
        <v>418</v>
      </c>
      <c r="B4" s="266">
        <f>SUM(D4:P4)</f>
        <v>61053.924999999996</v>
      </c>
      <c r="C4" s="266">
        <f>SUM(D4:O4)</f>
        <v>61053.924999999996</v>
      </c>
      <c r="D4" s="266">
        <f>' Фінплан освоєння '!N16</f>
        <v>5906.616</v>
      </c>
      <c r="E4" s="266">
        <v>0</v>
      </c>
      <c r="F4" s="266">
        <f>' Фінплан освоєння '!O16+' Фінплан освоєння '!O17+' Фінплан освоєння '!O18</f>
        <v>14700.688</v>
      </c>
      <c r="G4" s="266">
        <f>' Фінплан освоєння '!P16+' Фінплан освоєння '!P17+' Фінплан освоєння '!P18</f>
        <v>14004.093000000001</v>
      </c>
      <c r="H4" s="266">
        <f>' Фінплан освоєння '!Q16+' Фінплан освоєння '!Q17+' Фінплан освоєння '!Q18</f>
        <v>0</v>
      </c>
      <c r="I4" s="266">
        <f>' Фінплан освоєння '!R16+' Фінплан освоєння '!R17+' Фінплан освоєння '!R18</f>
        <v>11325.534</v>
      </c>
      <c r="J4" s="266">
        <f>' Фінплан освоєння '!S16+' Фінплан освоєння '!S17+' Фінплан освоєння '!S18</f>
        <v>9204.5110000000004</v>
      </c>
      <c r="K4" s="266">
        <f>' Фінплан освоєння '!T16+' Фінплан освоєння '!T17+' Фінплан освоєння '!T18</f>
        <v>5912.4830000000002</v>
      </c>
      <c r="L4" s="266">
        <v>0</v>
      </c>
      <c r="M4" s="266">
        <v>0</v>
      </c>
      <c r="N4" s="266">
        <v>0</v>
      </c>
      <c r="O4" s="266">
        <v>0</v>
      </c>
      <c r="P4" s="269">
        <v>0</v>
      </c>
    </row>
    <row r="5" spans="1:31" x14ac:dyDescent="0.25">
      <c r="A5" s="318" t="s">
        <v>439</v>
      </c>
      <c r="B5" s="266"/>
      <c r="C5" s="266">
        <f t="shared" ref="C5:C26" si="0">SUM(D5:O5)</f>
        <v>507991.32799999992</v>
      </c>
      <c r="D5" s="266">
        <f>D4</f>
        <v>5906.616</v>
      </c>
      <c r="E5" s="266">
        <f>D5+E4</f>
        <v>5906.616</v>
      </c>
      <c r="F5" s="266">
        <f>E5+F4</f>
        <v>20607.304</v>
      </c>
      <c r="G5" s="266">
        <f>F5+G4</f>
        <v>34611.396999999997</v>
      </c>
      <c r="H5" s="266">
        <f t="shared" ref="H5:J5" si="1">G5+H4</f>
        <v>34611.396999999997</v>
      </c>
      <c r="I5" s="266">
        <f t="shared" si="1"/>
        <v>45936.930999999997</v>
      </c>
      <c r="J5" s="266">
        <f t="shared" si="1"/>
        <v>55141.441999999995</v>
      </c>
      <c r="K5" s="266">
        <f>J5+K4</f>
        <v>61053.924999999996</v>
      </c>
      <c r="L5" s="266">
        <f t="shared" ref="L5:W5" si="2">K5+L4</f>
        <v>61053.924999999996</v>
      </c>
      <c r="M5" s="266">
        <f t="shared" si="2"/>
        <v>61053.924999999996</v>
      </c>
      <c r="N5" s="266">
        <f t="shared" si="2"/>
        <v>61053.924999999996</v>
      </c>
      <c r="O5" s="266">
        <f t="shared" si="2"/>
        <v>61053.924999999996</v>
      </c>
      <c r="P5" s="269">
        <f t="shared" si="2"/>
        <v>61053.924999999996</v>
      </c>
      <c r="Q5" s="14">
        <f t="shared" si="2"/>
        <v>61053.924999999996</v>
      </c>
      <c r="R5" s="14">
        <f t="shared" si="2"/>
        <v>61053.924999999996</v>
      </c>
      <c r="S5" s="14">
        <f t="shared" si="2"/>
        <v>61053.924999999996</v>
      </c>
      <c r="T5" s="14">
        <f t="shared" si="2"/>
        <v>61053.924999999996</v>
      </c>
      <c r="U5" s="14">
        <f t="shared" si="2"/>
        <v>61053.924999999996</v>
      </c>
      <c r="V5" s="14">
        <f t="shared" si="2"/>
        <v>61053.924999999996</v>
      </c>
      <c r="W5" s="14">
        <f t="shared" si="2"/>
        <v>61053.924999999996</v>
      </c>
      <c r="X5" s="14">
        <f t="shared" ref="X5" si="3">W5+X4</f>
        <v>61053.924999999996</v>
      </c>
      <c r="Y5" s="14">
        <f t="shared" ref="Y5" si="4">X5+Y4</f>
        <v>61053.924999999996</v>
      </c>
      <c r="Z5" s="14">
        <f t="shared" ref="Z5" si="5">Y5+Z4</f>
        <v>61053.924999999996</v>
      </c>
      <c r="AA5" s="14">
        <f t="shared" ref="AA5" si="6">Z5+AA4</f>
        <v>61053.924999999996</v>
      </c>
      <c r="AB5" s="14">
        <f t="shared" ref="AB5" si="7">AA5+AB4</f>
        <v>61053.924999999996</v>
      </c>
      <c r="AC5" s="14">
        <f t="shared" ref="AC5" si="8">AB5+AC4</f>
        <v>61053.924999999996</v>
      </c>
      <c r="AD5" s="14">
        <f t="shared" ref="AD5" si="9">AC5+AD4</f>
        <v>61053.924999999996</v>
      </c>
      <c r="AE5" s="14">
        <f t="shared" ref="AE5" si="10">AD5+AE4</f>
        <v>61053.924999999996</v>
      </c>
    </row>
    <row r="6" spans="1:31" x14ac:dyDescent="0.25">
      <c r="A6" s="322" t="s">
        <v>434</v>
      </c>
      <c r="B6" s="274">
        <f>SUM(D6:P6)</f>
        <v>33953.803877777777</v>
      </c>
      <c r="C6" s="274">
        <f t="shared" si="0"/>
        <v>29883.542211111107</v>
      </c>
      <c r="D6" s="274"/>
      <c r="E6" s="274"/>
      <c r="F6" s="274">
        <f>F4/$B$3/12*2+(F5-F4)/$B$3/12*8</f>
        <v>425.85724444444452</v>
      </c>
      <c r="G6" s="274">
        <f>G4/$B$3/12*2+((G5-G4)/$B$3)</f>
        <v>1529.4212999999997</v>
      </c>
      <c r="H6" s="274">
        <f>H4/$B$3/12*2+((H5-H4)/$B$3)</f>
        <v>2307.4264666666663</v>
      </c>
      <c r="I6" s="274">
        <f>I4/$B$3/12*2+((I5-I4)/$B$3)</f>
        <v>2433.2657333333332</v>
      </c>
      <c r="J6" s="274">
        <f t="shared" ref="J6:S6" si="11">J4/$B$3/12*2+(J5-J4)/$B$3</f>
        <v>3164.7344111111111</v>
      </c>
      <c r="K6" s="274">
        <f t="shared" si="11"/>
        <v>3741.7903888888886</v>
      </c>
      <c r="L6" s="274">
        <f t="shared" si="11"/>
        <v>4070.2616666666663</v>
      </c>
      <c r="M6" s="274">
        <f t="shared" si="11"/>
        <v>4070.2616666666663</v>
      </c>
      <c r="N6" s="274">
        <f t="shared" si="11"/>
        <v>4070.2616666666663</v>
      </c>
      <c r="O6" s="274">
        <f t="shared" si="11"/>
        <v>4070.2616666666663</v>
      </c>
      <c r="P6" s="312">
        <f t="shared" si="11"/>
        <v>4070.2616666666663</v>
      </c>
      <c r="Q6" s="14">
        <f t="shared" si="11"/>
        <v>4070.2616666666663</v>
      </c>
      <c r="R6" s="14">
        <f t="shared" si="11"/>
        <v>4070.2616666666663</v>
      </c>
      <c r="S6" s="14">
        <f t="shared" si="11"/>
        <v>4070.2616666666663</v>
      </c>
      <c r="T6" s="14">
        <f t="shared" ref="T6:Y6" si="12">T4/$B$3/12*2+(T5-T4-D5)/$B$3</f>
        <v>3676.4872666666661</v>
      </c>
      <c r="U6" s="14">
        <f t="shared" si="12"/>
        <v>3676.4872666666661</v>
      </c>
      <c r="V6" s="14">
        <f t="shared" si="12"/>
        <v>2696.4414000000002</v>
      </c>
      <c r="W6" s="14">
        <f t="shared" si="12"/>
        <v>1762.8352</v>
      </c>
      <c r="X6" s="14">
        <f t="shared" si="12"/>
        <v>1762.8352</v>
      </c>
      <c r="Y6" s="14">
        <f t="shared" si="12"/>
        <v>1007.7995999999999</v>
      </c>
      <c r="Z6" s="14">
        <f>Z4/$B$3/12*2+(Z5-Z4-J5)/$B$3-219+131</f>
        <v>306.16553333333337</v>
      </c>
      <c r="AA6" s="14"/>
    </row>
    <row r="7" spans="1:31" x14ac:dyDescent="0.25">
      <c r="A7" s="318" t="s">
        <v>435</v>
      </c>
      <c r="B7" s="266">
        <f>' розрах Аморт ОЗ  перед15'!D75/1000</f>
        <v>11569.193568000004</v>
      </c>
      <c r="C7" s="266">
        <f t="shared" si="0"/>
        <v>10444.831996000001</v>
      </c>
      <c r="D7" s="266">
        <f>' розрах Аморт ОЗ  перед15'!E75/1000</f>
        <v>0</v>
      </c>
      <c r="E7" s="266"/>
      <c r="F7" s="266">
        <f>' розрах Аморт ОЗ  перед15'!F75/1000</f>
        <v>733.85375800000008</v>
      </c>
      <c r="G7" s="266">
        <f>' розрах Аморт ОЗ  перед15'!G75/1000</f>
        <v>926.96580000000006</v>
      </c>
      <c r="H7" s="266">
        <f>' розрах Аморт ОЗ  перед15'!H75/1000</f>
        <v>1118.2903959999999</v>
      </c>
      <c r="I7" s="266">
        <f>' розрах Аморт ОЗ  перед15'!I75/1000</f>
        <v>1029.107614</v>
      </c>
      <c r="J7" s="266">
        <f>' розрах Аморт ОЗ  перед15'!J75/1000</f>
        <v>1040.9300600000001</v>
      </c>
      <c r="K7" s="266">
        <f>' розрах Аморт ОЗ  перед15'!K75/1000</f>
        <v>1098.2380800000001</v>
      </c>
      <c r="L7" s="266">
        <f>' розрах Аморт ОЗ  перед15'!L75/1000</f>
        <v>1124.3615720000003</v>
      </c>
      <c r="M7" s="266">
        <f>' розрах Аморт ОЗ  перед15'!M75/1000</f>
        <v>1124.3615720000003</v>
      </c>
      <c r="N7" s="266">
        <f>' розрах Аморт ОЗ  перед15'!N75/1000</f>
        <v>1124.3615720000003</v>
      </c>
      <c r="O7" s="266">
        <f>' розрах Аморт ОЗ  перед15'!O75/1000</f>
        <v>1124.3615720000003</v>
      </c>
      <c r="P7" s="269">
        <f>' розрах Аморт ОЗ  перед15'!P75/1000</f>
        <v>1124.3615720000003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31" ht="34.5" customHeight="1" thickBot="1" x14ac:dyDescent="0.3">
      <c r="A8" s="316" t="s">
        <v>436</v>
      </c>
      <c r="B8" s="317">
        <f>B6+B7</f>
        <v>45522.997445777779</v>
      </c>
      <c r="C8" s="317">
        <f t="shared" si="0"/>
        <v>40328.374207111112</v>
      </c>
      <c r="D8" s="317">
        <f t="shared" ref="D8:P8" si="13">D6+D7</f>
        <v>0</v>
      </c>
      <c r="E8" s="317"/>
      <c r="F8" s="317">
        <f t="shared" si="13"/>
        <v>1159.7110024444446</v>
      </c>
      <c r="G8" s="317">
        <f t="shared" si="13"/>
        <v>2456.3870999999999</v>
      </c>
      <c r="H8" s="317">
        <f t="shared" si="13"/>
        <v>3425.7168626666662</v>
      </c>
      <c r="I8" s="317">
        <f t="shared" si="13"/>
        <v>3462.3733473333332</v>
      </c>
      <c r="J8" s="317">
        <f t="shared" si="13"/>
        <v>4205.6644711111112</v>
      </c>
      <c r="K8" s="317">
        <f t="shared" si="13"/>
        <v>4840.0284688888887</v>
      </c>
      <c r="L8" s="317">
        <f t="shared" si="13"/>
        <v>5194.623238666667</v>
      </c>
      <c r="M8" s="317">
        <f t="shared" si="13"/>
        <v>5194.623238666667</v>
      </c>
      <c r="N8" s="317">
        <f t="shared" si="13"/>
        <v>5194.623238666667</v>
      </c>
      <c r="O8" s="317">
        <f t="shared" si="13"/>
        <v>5194.623238666667</v>
      </c>
      <c r="P8" s="324">
        <f t="shared" si="13"/>
        <v>5194.623238666667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31" x14ac:dyDescent="0.25">
      <c r="A9" s="281" t="s">
        <v>415</v>
      </c>
      <c r="B9" s="283">
        <v>5</v>
      </c>
      <c r="C9" s="283">
        <f t="shared" si="0"/>
        <v>0</v>
      </c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90"/>
    </row>
    <row r="10" spans="1:31" x14ac:dyDescent="0.25">
      <c r="A10" s="268" t="s">
        <v>418</v>
      </c>
      <c r="B10" s="266">
        <f>SUM(D10:P10)</f>
        <v>4941.7069999999994</v>
      </c>
      <c r="C10" s="266">
        <f t="shared" si="0"/>
        <v>4941.7069999999994</v>
      </c>
      <c r="D10" s="266">
        <f>' Фінплан освоєння '!N19+' Фінплан освоєння '!N20+' Фінплан освоєння '!N21+' Фінплан освоєння '!N22</f>
        <v>0</v>
      </c>
      <c r="E10" s="266"/>
      <c r="F10" s="266">
        <f>' Фінплан освоєння '!O19+' Фінплан освоєння '!O20+' Фінплан освоєння '!O21+' Фінплан освоєння '!O22</f>
        <v>20.574000000000002</v>
      </c>
      <c r="G10" s="266">
        <f>' Фінплан освоєння '!P19+' Фінплан освоєння '!P20+' Фінплан освоєння '!P21+' Фінплан освоєння '!P22</f>
        <v>232.75299999999999</v>
      </c>
      <c r="H10" s="266">
        <f>' Фінплан освоєння '!Q19+' Фінплан освоєння '!Q20+' Фінплан освоєння '!Q21+' Фінплан освоєння '!Q22</f>
        <v>0</v>
      </c>
      <c r="I10" s="266">
        <f>' Фінплан освоєння '!R19+' Фінплан освоєння '!R20+' Фінплан освоєння '!R21+' Фінплан освоєння '!R22</f>
        <v>1737.0039999999999</v>
      </c>
      <c r="J10" s="266">
        <f>' Фінплан освоєння '!S19+' Фінплан освоєння '!S20+' Фінплан освоєння '!S21+' Фінплан освоєння '!S22</f>
        <v>1023.846</v>
      </c>
      <c r="K10" s="266">
        <f>' Фінплан освоєння '!T19+' Фінплан освоєння '!T20+' Фінплан освоєння '!T21+' Фінплан освоєння '!T22</f>
        <v>1927.53</v>
      </c>
      <c r="L10" s="265"/>
      <c r="M10" s="265"/>
      <c r="N10" s="265"/>
      <c r="O10" s="265"/>
      <c r="P10" s="267"/>
    </row>
    <row r="11" spans="1:31" x14ac:dyDescent="0.25">
      <c r="A11" s="268" t="s">
        <v>419</v>
      </c>
      <c r="B11" s="266"/>
      <c r="C11" s="266">
        <f t="shared" si="0"/>
        <v>30240.270999999993</v>
      </c>
      <c r="D11" s="266"/>
      <c r="E11" s="266"/>
      <c r="F11" s="266">
        <f>F10</f>
        <v>20.574000000000002</v>
      </c>
      <c r="G11" s="266">
        <f>G10+F11</f>
        <v>253.327</v>
      </c>
      <c r="H11" s="266">
        <f>H10+G11</f>
        <v>253.327</v>
      </c>
      <c r="I11" s="266">
        <f>I10+H11</f>
        <v>1990.3309999999999</v>
      </c>
      <c r="J11" s="266">
        <f t="shared" ref="J11:P11" si="14">J10+I11</f>
        <v>3014.1769999999997</v>
      </c>
      <c r="K11" s="266">
        <f>K10+J11</f>
        <v>4941.7069999999994</v>
      </c>
      <c r="L11" s="266">
        <f t="shared" si="14"/>
        <v>4941.7069999999994</v>
      </c>
      <c r="M11" s="266">
        <f t="shared" si="14"/>
        <v>4941.7069999999994</v>
      </c>
      <c r="N11" s="266">
        <f t="shared" si="14"/>
        <v>4941.7069999999994</v>
      </c>
      <c r="O11" s="266">
        <f t="shared" si="14"/>
        <v>4941.7069999999994</v>
      </c>
      <c r="P11" s="269">
        <f t="shared" si="14"/>
        <v>4941.7069999999994</v>
      </c>
      <c r="Q11" s="14"/>
    </row>
    <row r="12" spans="1:31" ht="15.75" thickBot="1" x14ac:dyDescent="0.3">
      <c r="A12" s="301" t="s">
        <v>434</v>
      </c>
      <c r="B12" s="270">
        <f>SUM(D12:P12)</f>
        <v>4942.1795666666667</v>
      </c>
      <c r="C12" s="270">
        <f t="shared" si="0"/>
        <v>4720.9245666666666</v>
      </c>
      <c r="D12" s="270"/>
      <c r="E12" s="270"/>
      <c r="F12" s="270">
        <f t="shared" ref="F12:K12" si="15">F10/$B$9/12*2+(F11-F10)/$B$9</f>
        <v>0.68580000000000008</v>
      </c>
      <c r="G12" s="270">
        <f t="shared" si="15"/>
        <v>11.873233333333335</v>
      </c>
      <c r="H12" s="270">
        <f t="shared" si="15"/>
        <v>50.665399999999998</v>
      </c>
      <c r="I12" s="270">
        <f t="shared" si="15"/>
        <v>108.56553333333333</v>
      </c>
      <c r="J12" s="270">
        <f t="shared" si="15"/>
        <v>432.19439999999992</v>
      </c>
      <c r="K12" s="270">
        <f t="shared" si="15"/>
        <v>667.08639999999991</v>
      </c>
      <c r="L12" s="270">
        <f>L10/$B$9/12*2+(L11-L10-F11)/$B$9</f>
        <v>984.22659999999996</v>
      </c>
      <c r="M12" s="270">
        <f>M10/$B$9/12*2+(M11-M10-G11)/$B$9</f>
        <v>937.67599999999982</v>
      </c>
      <c r="N12" s="270">
        <f>N10/$B$9/12*2+(N11-N10-H11)/$B$9</f>
        <v>937.67599999999982</v>
      </c>
      <c r="O12" s="270">
        <f>O10/$B$9/12*2+(O11-O10-I11)/$B$9</f>
        <v>590.27519999999981</v>
      </c>
      <c r="P12" s="272">
        <f>(P10/$B$9/12*2+(P11-P10-J11)/$B$9)/12*10-100</f>
        <v>221.25499999999994</v>
      </c>
      <c r="Q12" s="14"/>
    </row>
    <row r="13" spans="1:31" x14ac:dyDescent="0.25">
      <c r="A13" s="315" t="s">
        <v>437</v>
      </c>
      <c r="B13" s="313">
        <f>SUM(F13:P13)</f>
        <v>517.14456666666672</v>
      </c>
      <c r="C13" s="313">
        <f t="shared" si="0"/>
        <v>517.14456666666672</v>
      </c>
      <c r="D13" s="313"/>
      <c r="E13" s="313"/>
      <c r="F13" s="313">
        <f>' розрах Аморт ОЗ  перед15'!F76/1000</f>
        <v>68.952666666666673</v>
      </c>
      <c r="G13" s="313">
        <f>' розрах Аморт ОЗ  перед15'!G76/1000</f>
        <v>55.290900000000008</v>
      </c>
      <c r="H13" s="313">
        <f>' розрах Аморт ОЗ  перед15'!H76/1000</f>
        <v>103.429</v>
      </c>
      <c r="I13" s="313">
        <f>' розрах Аморт ОЗ  перед15'!I76/1000</f>
        <v>103.429</v>
      </c>
      <c r="J13" s="313">
        <f>' розрах Аморт ОЗ  перед15'!J76/1000</f>
        <v>103.429</v>
      </c>
      <c r="K13" s="313">
        <f>' розрах Аморт ОЗ  перед15'!K76/1000</f>
        <v>82.614000000000004</v>
      </c>
      <c r="L13" s="313">
        <f>' розрах Аморт ОЗ  перед15'!L76/1000</f>
        <v>0</v>
      </c>
      <c r="M13" s="313">
        <f>' розрах Аморт ОЗ  перед15'!M76/1000</f>
        <v>0</v>
      </c>
      <c r="N13" s="313">
        <f>' розрах Аморт ОЗ  перед15'!N76/1000</f>
        <v>0</v>
      </c>
      <c r="O13" s="313">
        <f>' розрах Аморт ОЗ  перед15'!O76/1000</f>
        <v>0</v>
      </c>
      <c r="P13" s="314">
        <f>' розрах Аморт ОЗ  перед15'!P76/1000</f>
        <v>0</v>
      </c>
      <c r="Q13" s="14"/>
    </row>
    <row r="14" spans="1:31" ht="32.25" customHeight="1" x14ac:dyDescent="0.25">
      <c r="A14" s="325" t="s">
        <v>436</v>
      </c>
      <c r="B14" s="323">
        <f>B12+B13</f>
        <v>5459.3241333333335</v>
      </c>
      <c r="C14" s="323">
        <f t="shared" si="0"/>
        <v>5238.0691333333334</v>
      </c>
      <c r="D14" s="323">
        <f t="shared" ref="D14:P14" si="16">D12+D13</f>
        <v>0</v>
      </c>
      <c r="E14" s="323">
        <f t="shared" si="16"/>
        <v>0</v>
      </c>
      <c r="F14" s="323">
        <f t="shared" si="16"/>
        <v>69.638466666666673</v>
      </c>
      <c r="G14" s="323">
        <f t="shared" si="16"/>
        <v>67.164133333333339</v>
      </c>
      <c r="H14" s="323">
        <f t="shared" si="16"/>
        <v>154.09440000000001</v>
      </c>
      <c r="I14" s="323">
        <f t="shared" si="16"/>
        <v>211.99453333333332</v>
      </c>
      <c r="J14" s="323">
        <f t="shared" si="16"/>
        <v>535.62339999999995</v>
      </c>
      <c r="K14" s="323">
        <f t="shared" si="16"/>
        <v>749.70039999999995</v>
      </c>
      <c r="L14" s="323">
        <f t="shared" si="16"/>
        <v>984.22659999999996</v>
      </c>
      <c r="M14" s="323">
        <f t="shared" si="16"/>
        <v>937.67599999999982</v>
      </c>
      <c r="N14" s="323">
        <f t="shared" si="16"/>
        <v>937.67599999999982</v>
      </c>
      <c r="O14" s="323">
        <f t="shared" si="16"/>
        <v>590.27519999999981</v>
      </c>
      <c r="P14" s="326">
        <f t="shared" si="16"/>
        <v>221.25499999999994</v>
      </c>
      <c r="Q14" s="14"/>
    </row>
    <row r="15" spans="1:31" x14ac:dyDescent="0.25">
      <c r="A15" s="287" t="s">
        <v>416</v>
      </c>
      <c r="B15" s="288">
        <v>4</v>
      </c>
      <c r="C15" s="288">
        <f t="shared" si="0"/>
        <v>0</v>
      </c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9"/>
    </row>
    <row r="16" spans="1:31" x14ac:dyDescent="0.25">
      <c r="A16" s="268" t="s">
        <v>418</v>
      </c>
      <c r="B16" s="266">
        <f>SUM(D16:P16)</f>
        <v>8056.1570000000002</v>
      </c>
      <c r="C16" s="266">
        <f t="shared" si="0"/>
        <v>8056.1570000000002</v>
      </c>
      <c r="D16" s="266">
        <f>' Фінплан освоєння '!N25+' Фінплан освоєння '!N26</f>
        <v>0</v>
      </c>
      <c r="E16" s="266"/>
      <c r="F16" s="266">
        <f>' Фінплан освоєння '!O25+' Фінплан освоєння '!O26</f>
        <v>8056.1570000000002</v>
      </c>
      <c r="G16" s="266">
        <f>' Фінплан освоєння '!P25+' Фінплан освоєння '!P26</f>
        <v>0</v>
      </c>
      <c r="H16" s="266">
        <f>' Фінплан освоєння '!Q25+' Фінплан освоєння '!Q26</f>
        <v>0</v>
      </c>
      <c r="I16" s="266">
        <f>' Фінплан освоєння '!R25+' Фінплан освоєння '!R26</f>
        <v>0</v>
      </c>
      <c r="J16" s="266">
        <f>' Фінплан освоєння '!S25+' Фінплан освоєння '!S26</f>
        <v>0</v>
      </c>
      <c r="K16" s="266">
        <f>' Фінплан освоєння '!T25+' Фінплан освоєння '!T26</f>
        <v>0</v>
      </c>
      <c r="L16" s="265"/>
      <c r="M16" s="265"/>
      <c r="N16" s="265"/>
      <c r="O16" s="265"/>
      <c r="P16" s="267"/>
    </row>
    <row r="17" spans="1:23" x14ac:dyDescent="0.25">
      <c r="A17" s="268" t="s">
        <v>419</v>
      </c>
      <c r="B17" s="266"/>
      <c r="C17" s="266">
        <f t="shared" si="0"/>
        <v>80561.570000000007</v>
      </c>
      <c r="D17" s="266"/>
      <c r="E17" s="266"/>
      <c r="F17" s="266">
        <f>F16</f>
        <v>8056.1570000000002</v>
      </c>
      <c r="G17" s="266">
        <f>G16+F17</f>
        <v>8056.1570000000002</v>
      </c>
      <c r="H17" s="266">
        <f t="shared" ref="H17:P17" si="17">H16+G17</f>
        <v>8056.1570000000002</v>
      </c>
      <c r="I17" s="266">
        <f t="shared" si="17"/>
        <v>8056.1570000000002</v>
      </c>
      <c r="J17" s="266">
        <f t="shared" si="17"/>
        <v>8056.1570000000002</v>
      </c>
      <c r="K17" s="266">
        <f t="shared" si="17"/>
        <v>8056.1570000000002</v>
      </c>
      <c r="L17" s="266">
        <f t="shared" si="17"/>
        <v>8056.1570000000002</v>
      </c>
      <c r="M17" s="266">
        <f t="shared" si="17"/>
        <v>8056.1570000000002</v>
      </c>
      <c r="N17" s="266">
        <f t="shared" si="17"/>
        <v>8056.1570000000002</v>
      </c>
      <c r="O17" s="266">
        <f t="shared" si="17"/>
        <v>8056.1570000000002</v>
      </c>
      <c r="P17" s="269">
        <f t="shared" si="17"/>
        <v>8056.1570000000002</v>
      </c>
    </row>
    <row r="18" spans="1:23" ht="15.75" thickBot="1" x14ac:dyDescent="0.3">
      <c r="A18" s="330" t="s">
        <v>420</v>
      </c>
      <c r="B18" s="331">
        <f>SUM(D18:P18)</f>
        <v>8056.1569999999992</v>
      </c>
      <c r="C18" s="331">
        <f t="shared" si="0"/>
        <v>8056.1569999999992</v>
      </c>
      <c r="D18" s="331"/>
      <c r="E18" s="331"/>
      <c r="F18" s="331">
        <f>F16/$B$15/12*2+(F17-F16)/$B$15</f>
        <v>335.67320833333332</v>
      </c>
      <c r="G18" s="331">
        <f>G16/$B$15/12*2+(G17-G16)/$B$15</f>
        <v>2014.03925</v>
      </c>
      <c r="H18" s="331">
        <f t="shared" ref="H18:I18" si="18">H16/$B$15/12*2+(H17-H16)/$B$15</f>
        <v>2014.03925</v>
      </c>
      <c r="I18" s="331">
        <f t="shared" si="18"/>
        <v>2014.03925</v>
      </c>
      <c r="J18" s="331">
        <f>(J16/$B$15/12*2+(J17-J16)/$B$15)/12*10</f>
        <v>1678.3660416666667</v>
      </c>
      <c r="K18" s="331"/>
      <c r="L18" s="332"/>
      <c r="M18" s="332"/>
      <c r="N18" s="332"/>
      <c r="O18" s="332"/>
      <c r="P18" s="333"/>
    </row>
    <row r="19" spans="1:23" x14ac:dyDescent="0.25">
      <c r="A19" s="281" t="s">
        <v>417</v>
      </c>
      <c r="B19" s="282">
        <v>2</v>
      </c>
      <c r="C19" s="282">
        <f t="shared" si="0"/>
        <v>0</v>
      </c>
      <c r="D19" s="283"/>
      <c r="E19" s="283"/>
      <c r="F19" s="283"/>
      <c r="G19" s="283"/>
      <c r="H19" s="283"/>
      <c r="I19" s="283"/>
      <c r="J19" s="283"/>
      <c r="K19" s="283"/>
      <c r="L19" s="282"/>
      <c r="M19" s="282"/>
      <c r="N19" s="282"/>
      <c r="O19" s="282"/>
      <c r="P19" s="284"/>
    </row>
    <row r="20" spans="1:23" x14ac:dyDescent="0.25">
      <c r="A20" s="268" t="s">
        <v>418</v>
      </c>
      <c r="B20" s="266">
        <f>SUM(D20:P20)</f>
        <v>4297.4350000000004</v>
      </c>
      <c r="C20" s="266">
        <f t="shared" si="0"/>
        <v>4297.4350000000004</v>
      </c>
      <c r="D20" s="266">
        <f>' Фінплан освоєння '!N29</f>
        <v>0</v>
      </c>
      <c r="E20" s="266"/>
      <c r="F20" s="266">
        <f>' Фінплан освоєння '!O29</f>
        <v>0</v>
      </c>
      <c r="G20" s="266">
        <f>' Фінплан освоєння '!P29</f>
        <v>0</v>
      </c>
      <c r="H20" s="266">
        <f>' Фінплан освоєння '!Q29</f>
        <v>4297.4350000000004</v>
      </c>
      <c r="I20" s="266">
        <f>' Фінплан освоєння '!R29</f>
        <v>0</v>
      </c>
      <c r="J20" s="266">
        <f>' Фінплан освоєння '!S29</f>
        <v>0</v>
      </c>
      <c r="K20" s="266">
        <f>' Фінплан освоєння '!T29</f>
        <v>0</v>
      </c>
      <c r="L20" s="266"/>
      <c r="M20" s="266"/>
      <c r="N20" s="266"/>
      <c r="O20" s="266"/>
      <c r="P20" s="269"/>
    </row>
    <row r="21" spans="1:23" x14ac:dyDescent="0.25">
      <c r="A21" s="268" t="s">
        <v>419</v>
      </c>
      <c r="B21" s="265"/>
      <c r="C21" s="265">
        <f t="shared" si="0"/>
        <v>34379.480000000003</v>
      </c>
      <c r="D21" s="265"/>
      <c r="E21" s="265"/>
      <c r="F21" s="265"/>
      <c r="G21" s="265"/>
      <c r="H21" s="266">
        <f>H20</f>
        <v>4297.4350000000004</v>
      </c>
      <c r="I21" s="266">
        <f>I20+H21</f>
        <v>4297.4350000000004</v>
      </c>
      <c r="J21" s="266">
        <f t="shared" ref="J21:P21" si="19">J20+I21</f>
        <v>4297.4350000000004</v>
      </c>
      <c r="K21" s="266">
        <f t="shared" si="19"/>
        <v>4297.4350000000004</v>
      </c>
      <c r="L21" s="266">
        <f t="shared" si="19"/>
        <v>4297.4350000000004</v>
      </c>
      <c r="M21" s="266">
        <f t="shared" si="19"/>
        <v>4297.4350000000004</v>
      </c>
      <c r="N21" s="266">
        <f t="shared" si="19"/>
        <v>4297.4350000000004</v>
      </c>
      <c r="O21" s="266">
        <f t="shared" si="19"/>
        <v>4297.4350000000004</v>
      </c>
      <c r="P21" s="269">
        <f t="shared" si="19"/>
        <v>4297.4350000000004</v>
      </c>
    </row>
    <row r="22" spans="1:23" ht="15.75" thickBot="1" x14ac:dyDescent="0.3">
      <c r="A22" s="334" t="s">
        <v>420</v>
      </c>
      <c r="B22" s="335">
        <f>SUM(D22:P22)</f>
        <v>4297.4350000000004</v>
      </c>
      <c r="C22" s="335">
        <f t="shared" si="0"/>
        <v>4297.4350000000004</v>
      </c>
      <c r="D22" s="336"/>
      <c r="E22" s="336"/>
      <c r="F22" s="336"/>
      <c r="G22" s="336"/>
      <c r="H22" s="335">
        <f>H20/$B$19/12*2+(H21-H20)/$B$19</f>
        <v>358.11958333333337</v>
      </c>
      <c r="I22" s="335">
        <f>I20/$B$19/12*2+(I21-I20)/$B$19</f>
        <v>2148.7175000000002</v>
      </c>
      <c r="J22" s="335">
        <f>(J20/$B$19/12*2+(J21-J20)/$B$19)/12*10</f>
        <v>1790.5979166666668</v>
      </c>
      <c r="K22" s="336"/>
      <c r="L22" s="336"/>
      <c r="M22" s="336"/>
      <c r="N22" s="336"/>
      <c r="O22" s="336"/>
      <c r="P22" s="286"/>
    </row>
    <row r="23" spans="1:23" ht="15.75" thickBot="1" x14ac:dyDescent="0.3">
      <c r="A23" s="277" t="s">
        <v>424</v>
      </c>
      <c r="B23" s="278">
        <f>B6+B12+B18+B22</f>
        <v>51249.575444444439</v>
      </c>
      <c r="C23" s="278">
        <f t="shared" si="0"/>
        <v>46958.058777777776</v>
      </c>
      <c r="D23" s="278">
        <f t="shared" ref="D23:P23" si="20">D6+D12+D18+D22</f>
        <v>0</v>
      </c>
      <c r="E23" s="278">
        <f t="shared" si="20"/>
        <v>0</v>
      </c>
      <c r="F23" s="278">
        <f t="shared" si="20"/>
        <v>762.21625277777775</v>
      </c>
      <c r="G23" s="278">
        <f t="shared" si="20"/>
        <v>3555.333783333333</v>
      </c>
      <c r="H23" s="278">
        <f t="shared" si="20"/>
        <v>4730.2506999999996</v>
      </c>
      <c r="I23" s="278">
        <f t="shared" si="20"/>
        <v>6704.5880166666666</v>
      </c>
      <c r="J23" s="278">
        <f t="shared" si="20"/>
        <v>7065.8927694444437</v>
      </c>
      <c r="K23" s="278">
        <f t="shared" si="20"/>
        <v>4408.8767888888888</v>
      </c>
      <c r="L23" s="278">
        <f t="shared" si="20"/>
        <v>5054.4882666666663</v>
      </c>
      <c r="M23" s="278">
        <f t="shared" si="20"/>
        <v>5007.9376666666658</v>
      </c>
      <c r="N23" s="278">
        <f t="shared" si="20"/>
        <v>5007.9376666666658</v>
      </c>
      <c r="O23" s="278">
        <f t="shared" si="20"/>
        <v>4660.5368666666664</v>
      </c>
      <c r="P23" s="280">
        <f t="shared" si="20"/>
        <v>4291.5166666666664</v>
      </c>
      <c r="Q23" s="14">
        <f t="shared" ref="Q23:W23" si="21">Q6+Q12+Q18+Q22</f>
        <v>4070.2616666666663</v>
      </c>
      <c r="R23" s="14">
        <f t="shared" si="21"/>
        <v>4070.2616666666663</v>
      </c>
      <c r="S23" s="14">
        <f t="shared" si="21"/>
        <v>4070.2616666666663</v>
      </c>
      <c r="T23" s="14">
        <f t="shared" si="21"/>
        <v>3676.4872666666661</v>
      </c>
      <c r="U23" s="14">
        <f t="shared" si="21"/>
        <v>3676.4872666666661</v>
      </c>
      <c r="V23" s="14">
        <f t="shared" si="21"/>
        <v>2696.4414000000002</v>
      </c>
      <c r="W23" s="14">
        <f t="shared" si="21"/>
        <v>1762.8352</v>
      </c>
    </row>
    <row r="24" spans="1:23" ht="15.75" thickBot="1" x14ac:dyDescent="0.3">
      <c r="A24" s="337" t="s">
        <v>438</v>
      </c>
      <c r="B24" s="338">
        <f>B7+B13</f>
        <v>12086.33813466667</v>
      </c>
      <c r="C24" s="338">
        <f t="shared" si="0"/>
        <v>10961.976562666667</v>
      </c>
      <c r="D24" s="338">
        <f t="shared" ref="D24:P24" si="22">D7+D13</f>
        <v>0</v>
      </c>
      <c r="E24" s="338">
        <f t="shared" si="22"/>
        <v>0</v>
      </c>
      <c r="F24" s="338">
        <f t="shared" si="22"/>
        <v>802.80642466666677</v>
      </c>
      <c r="G24" s="338">
        <f t="shared" si="22"/>
        <v>982.25670000000002</v>
      </c>
      <c r="H24" s="338">
        <f t="shared" si="22"/>
        <v>1221.719396</v>
      </c>
      <c r="I24" s="338">
        <f t="shared" si="22"/>
        <v>1132.5366140000001</v>
      </c>
      <c r="J24" s="338">
        <f t="shared" si="22"/>
        <v>1144.3590600000002</v>
      </c>
      <c r="K24" s="338">
        <f t="shared" si="22"/>
        <v>1180.8520800000001</v>
      </c>
      <c r="L24" s="338">
        <f t="shared" si="22"/>
        <v>1124.3615720000003</v>
      </c>
      <c r="M24" s="338">
        <f t="shared" si="22"/>
        <v>1124.3615720000003</v>
      </c>
      <c r="N24" s="338">
        <f t="shared" si="22"/>
        <v>1124.3615720000003</v>
      </c>
      <c r="O24" s="338">
        <f t="shared" si="22"/>
        <v>1124.3615720000003</v>
      </c>
      <c r="P24" s="339">
        <f t="shared" si="22"/>
        <v>1124.3615720000003</v>
      </c>
    </row>
    <row r="25" spans="1:23" ht="15.75" thickBot="1" x14ac:dyDescent="0.3">
      <c r="A25" s="327"/>
      <c r="B25" s="328"/>
      <c r="C25" s="328">
        <f t="shared" si="0"/>
        <v>0</v>
      </c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9"/>
    </row>
    <row r="26" spans="1:23" ht="15.75" thickBot="1" x14ac:dyDescent="0.3">
      <c r="A26" s="277" t="s">
        <v>100</v>
      </c>
      <c r="B26" s="278">
        <f>B23+B24</f>
        <v>63335.913579111111</v>
      </c>
      <c r="C26" s="278">
        <f t="shared" si="0"/>
        <v>57920.035340444447</v>
      </c>
      <c r="D26" s="278">
        <f t="shared" ref="D26:P26" si="23">D23+D24</f>
        <v>0</v>
      </c>
      <c r="E26" s="278">
        <f t="shared" si="23"/>
        <v>0</v>
      </c>
      <c r="F26" s="278">
        <f t="shared" si="23"/>
        <v>1565.0226774444445</v>
      </c>
      <c r="G26" s="278">
        <f t="shared" si="23"/>
        <v>4537.5904833333334</v>
      </c>
      <c r="H26" s="278">
        <f t="shared" si="23"/>
        <v>5951.9700959999991</v>
      </c>
      <c r="I26" s="278">
        <f t="shared" si="23"/>
        <v>7837.1246306666671</v>
      </c>
      <c r="J26" s="278">
        <f t="shared" si="23"/>
        <v>8210.2518294444435</v>
      </c>
      <c r="K26" s="278">
        <f t="shared" si="23"/>
        <v>5589.7288688888893</v>
      </c>
      <c r="L26" s="278">
        <f t="shared" si="23"/>
        <v>6178.849838666667</v>
      </c>
      <c r="M26" s="278">
        <f t="shared" si="23"/>
        <v>6132.2992386666665</v>
      </c>
      <c r="N26" s="278">
        <f t="shared" si="23"/>
        <v>6132.2992386666665</v>
      </c>
      <c r="O26" s="278">
        <f t="shared" si="23"/>
        <v>5784.8984386666671</v>
      </c>
      <c r="P26" s="280">
        <f t="shared" si="23"/>
        <v>5415.8782386666662</v>
      </c>
    </row>
    <row r="27" spans="1:23" ht="15.75" thickBot="1" x14ac:dyDescent="0.3"/>
    <row r="28" spans="1:23" ht="15.75" thickBot="1" x14ac:dyDescent="0.3">
      <c r="A28" s="277" t="s">
        <v>528</v>
      </c>
      <c r="B28" s="505"/>
      <c r="C28" s="506">
        <f>C26-C18</f>
        <v>49863.878340444448</v>
      </c>
      <c r="D28" s="506">
        <f t="shared" ref="D28:P28" si="24">D26-D18</f>
        <v>0</v>
      </c>
      <c r="E28" s="506">
        <f t="shared" si="24"/>
        <v>0</v>
      </c>
      <c r="F28" s="506">
        <f t="shared" si="24"/>
        <v>1229.3494691111111</v>
      </c>
      <c r="G28" s="506">
        <f t="shared" si="24"/>
        <v>2523.5512333333336</v>
      </c>
      <c r="H28" s="506">
        <f t="shared" si="24"/>
        <v>3937.9308459999993</v>
      </c>
      <c r="I28" s="506">
        <f t="shared" si="24"/>
        <v>5823.0853806666673</v>
      </c>
      <c r="J28" s="506">
        <f t="shared" si="24"/>
        <v>6531.8857877777773</v>
      </c>
      <c r="K28" s="506">
        <f t="shared" si="24"/>
        <v>5589.7288688888893</v>
      </c>
      <c r="L28" s="506">
        <f t="shared" si="24"/>
        <v>6178.849838666667</v>
      </c>
      <c r="M28" s="506">
        <f t="shared" si="24"/>
        <v>6132.2992386666665</v>
      </c>
      <c r="N28" s="506">
        <f t="shared" si="24"/>
        <v>6132.2992386666665</v>
      </c>
      <c r="O28" s="506">
        <f t="shared" si="24"/>
        <v>5784.8984386666671</v>
      </c>
      <c r="P28" s="507">
        <f t="shared" si="24"/>
        <v>5415.8782386666662</v>
      </c>
    </row>
  </sheetData>
  <pageMargins left="0.7" right="0.7" top="0.75" bottom="0.75" header="0.3" footer="0.3"/>
  <pageSetup paperSize="8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workbookViewId="0">
      <selection activeCell="C34" sqref="C34"/>
    </sheetView>
  </sheetViews>
  <sheetFormatPr defaultRowHeight="15" x14ac:dyDescent="0.25"/>
  <cols>
    <col min="2" max="2" width="49.7109375" customWidth="1"/>
    <col min="3" max="3" width="13.28515625" customWidth="1"/>
    <col min="5" max="5" width="12" customWidth="1"/>
    <col min="6" max="6" width="10.85546875" customWidth="1"/>
    <col min="7" max="7" width="11.42578125" customWidth="1"/>
    <col min="8" max="8" width="10.7109375" customWidth="1"/>
    <col min="9" max="9" width="12.140625" customWidth="1"/>
    <col min="10" max="10" width="10.85546875" customWidth="1"/>
    <col min="11" max="11" width="11.85546875" customWidth="1"/>
    <col min="12" max="12" width="12.5703125" customWidth="1"/>
    <col min="13" max="13" width="13.42578125" customWidth="1"/>
    <col min="14" max="14" width="13.140625" customWidth="1"/>
    <col min="15" max="15" width="11.7109375" customWidth="1"/>
    <col min="16" max="16" width="12" customWidth="1"/>
    <col min="17" max="17" width="13.5703125" customWidth="1"/>
    <col min="18" max="18" width="12.85546875" customWidth="1"/>
    <col min="19" max="19" width="11.42578125" customWidth="1"/>
    <col min="20" max="20" width="11" customWidth="1"/>
    <col min="22" max="22" width="13.140625" customWidth="1"/>
    <col min="23" max="23" width="12" customWidth="1"/>
    <col min="24" max="24" width="11.28515625" customWidth="1"/>
  </cols>
  <sheetData>
    <row r="1" spans="1:26" ht="15.75" x14ac:dyDescent="0.25">
      <c r="A1" s="558" t="s">
        <v>160</v>
      </c>
      <c r="B1" s="559"/>
      <c r="C1" s="559"/>
      <c r="D1" s="559"/>
      <c r="E1" s="559"/>
      <c r="F1" s="559"/>
      <c r="G1" s="560"/>
    </row>
    <row r="3" spans="1:26" ht="15.75" x14ac:dyDescent="0.25">
      <c r="A3" s="526" t="s">
        <v>108</v>
      </c>
      <c r="B3" s="526" t="s">
        <v>109</v>
      </c>
      <c r="C3" s="526" t="s">
        <v>110</v>
      </c>
      <c r="D3" s="531" t="s">
        <v>111</v>
      </c>
      <c r="E3" s="532"/>
      <c r="F3" s="532"/>
      <c r="G3" s="532"/>
      <c r="H3" s="532"/>
      <c r="I3" s="532"/>
      <c r="J3" s="533"/>
      <c r="K3" s="534" t="s">
        <v>112</v>
      </c>
      <c r="L3" s="534" t="s">
        <v>113</v>
      </c>
      <c r="M3" s="526" t="s">
        <v>114</v>
      </c>
      <c r="N3" s="537" t="s">
        <v>115</v>
      </c>
      <c r="O3" s="538"/>
      <c r="P3" s="538"/>
      <c r="Q3" s="538"/>
      <c r="R3" s="538"/>
      <c r="S3" s="538"/>
      <c r="T3" s="539"/>
    </row>
    <row r="4" spans="1:26" ht="15.75" x14ac:dyDescent="0.25">
      <c r="A4" s="527"/>
      <c r="B4" s="527"/>
      <c r="C4" s="529"/>
      <c r="D4" s="526" t="s">
        <v>116</v>
      </c>
      <c r="E4" s="546" t="s">
        <v>117</v>
      </c>
      <c r="F4" s="546"/>
      <c r="G4" s="546"/>
      <c r="H4" s="546"/>
      <c r="I4" s="546"/>
      <c r="J4" s="546"/>
      <c r="K4" s="535"/>
      <c r="L4" s="535"/>
      <c r="M4" s="527"/>
      <c r="N4" s="547">
        <v>2018</v>
      </c>
      <c r="O4" s="526">
        <v>2020</v>
      </c>
      <c r="P4" s="526">
        <v>2021</v>
      </c>
      <c r="Q4" s="526">
        <v>2022</v>
      </c>
      <c r="R4" s="526">
        <v>2023</v>
      </c>
      <c r="S4" s="526">
        <v>2024</v>
      </c>
      <c r="T4" s="526">
        <v>2025</v>
      </c>
    </row>
    <row r="5" spans="1:26" ht="15.75" customHeight="1" x14ac:dyDescent="0.25">
      <c r="A5" s="527"/>
      <c r="B5" s="527"/>
      <c r="C5" s="529"/>
      <c r="D5" s="527"/>
      <c r="E5" s="543" t="s">
        <v>118</v>
      </c>
      <c r="F5" s="545" t="s">
        <v>119</v>
      </c>
      <c r="G5" s="545" t="s">
        <v>120</v>
      </c>
      <c r="H5" s="545" t="s">
        <v>121</v>
      </c>
      <c r="I5" s="531" t="s">
        <v>122</v>
      </c>
      <c r="J5" s="533"/>
      <c r="K5" s="535"/>
      <c r="L5" s="535"/>
      <c r="M5" s="527"/>
      <c r="N5" s="547"/>
      <c r="O5" s="527"/>
      <c r="P5" s="527"/>
      <c r="Q5" s="527"/>
      <c r="R5" s="527"/>
      <c r="S5" s="527"/>
      <c r="T5" s="527"/>
    </row>
    <row r="6" spans="1:26" ht="62.25" customHeight="1" x14ac:dyDescent="0.25">
      <c r="A6" s="528"/>
      <c r="B6" s="528"/>
      <c r="C6" s="530"/>
      <c r="D6" s="528"/>
      <c r="E6" s="544"/>
      <c r="F6" s="545"/>
      <c r="G6" s="545"/>
      <c r="H6" s="545"/>
      <c r="I6" s="33" t="s">
        <v>123</v>
      </c>
      <c r="J6" s="33" t="s">
        <v>124</v>
      </c>
      <c r="K6" s="536"/>
      <c r="L6" s="536"/>
      <c r="M6" s="528"/>
      <c r="N6" s="547"/>
      <c r="O6" s="528"/>
      <c r="P6" s="528"/>
      <c r="Q6" s="528"/>
      <c r="R6" s="528"/>
      <c r="S6" s="528"/>
      <c r="T6" s="528"/>
    </row>
    <row r="7" spans="1:26" ht="22.5" customHeight="1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5">
        <v>7</v>
      </c>
      <c r="H7" s="34">
        <v>8</v>
      </c>
      <c r="I7" s="34">
        <v>9</v>
      </c>
      <c r="J7" s="34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  <c r="R7" s="36">
        <v>18</v>
      </c>
      <c r="S7" s="36">
        <v>19</v>
      </c>
      <c r="T7" s="36">
        <v>20</v>
      </c>
    </row>
    <row r="8" spans="1:26" ht="28.5" customHeight="1" x14ac:dyDescent="0.25">
      <c r="A8" s="34"/>
      <c r="B8" s="541" t="s">
        <v>125</v>
      </c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</row>
    <row r="9" spans="1:26" ht="36" customHeight="1" x14ac:dyDescent="0.25">
      <c r="A9" s="41"/>
      <c r="B9" s="541" t="s">
        <v>126</v>
      </c>
      <c r="C9" s="542"/>
      <c r="D9" s="542"/>
      <c r="E9" s="542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2"/>
    </row>
    <row r="10" spans="1:26" ht="41.25" customHeight="1" x14ac:dyDescent="0.25">
      <c r="A10" s="43" t="s">
        <v>127</v>
      </c>
      <c r="B10" s="549" t="s">
        <v>128</v>
      </c>
      <c r="C10" s="550"/>
      <c r="D10" s="550"/>
      <c r="E10" s="550"/>
      <c r="F10" s="550"/>
      <c r="G10" s="550"/>
      <c r="H10" s="550"/>
      <c r="I10" s="550"/>
      <c r="J10" s="550"/>
      <c r="K10" s="550"/>
      <c r="L10" s="550"/>
      <c r="M10" s="550"/>
      <c r="N10" s="550"/>
      <c r="O10" s="550"/>
      <c r="P10" s="550"/>
      <c r="Q10" s="550"/>
      <c r="R10" s="550"/>
      <c r="S10" s="550"/>
      <c r="T10" s="550"/>
    </row>
    <row r="11" spans="1:26" ht="48.75" customHeight="1" x14ac:dyDescent="0.25">
      <c r="A11" s="45" t="s">
        <v>129</v>
      </c>
      <c r="B11" s="46" t="s">
        <v>130</v>
      </c>
      <c r="C11" s="34"/>
      <c r="D11" s="47">
        <v>47421</v>
      </c>
      <c r="E11" s="48">
        <f t="shared" ref="E11:E17" si="0">D11/$D$26*$E$26</f>
        <v>38334.278138011054</v>
      </c>
      <c r="F11" s="49">
        <f>D11-E11</f>
        <v>9086.7218619889463</v>
      </c>
      <c r="G11" s="49"/>
      <c r="H11" s="49"/>
      <c r="I11" s="49"/>
      <c r="J11" s="49"/>
      <c r="K11" s="49"/>
      <c r="L11" s="49"/>
      <c r="M11" s="49"/>
      <c r="N11" s="49">
        <v>5906.616</v>
      </c>
      <c r="O11" s="50">
        <v>10705.232</v>
      </c>
      <c r="P11" s="50">
        <v>5200.6139999999996</v>
      </c>
      <c r="Q11" s="50"/>
      <c r="R11" s="50">
        <v>10491.998</v>
      </c>
      <c r="S11" s="50">
        <v>9204.5110000000004</v>
      </c>
      <c r="T11" s="50">
        <v>5912.4830000000002</v>
      </c>
      <c r="V11" s="91">
        <f>D11</f>
        <v>47421</v>
      </c>
      <c r="X11" s="91"/>
    </row>
    <row r="12" spans="1:26" ht="39.75" customHeight="1" x14ac:dyDescent="0.25">
      <c r="A12" s="45" t="s">
        <v>131</v>
      </c>
      <c r="B12" s="52" t="s">
        <v>132</v>
      </c>
      <c r="C12" s="34"/>
      <c r="D12" s="47">
        <v>5820</v>
      </c>
      <c r="E12" s="48">
        <f t="shared" si="0"/>
        <v>4704.7826651319947</v>
      </c>
      <c r="F12" s="49">
        <f t="shared" ref="F12:F18" si="1">D12-E12</f>
        <v>1115.2173348680053</v>
      </c>
      <c r="G12" s="49"/>
      <c r="H12" s="49"/>
      <c r="I12" s="49"/>
      <c r="J12" s="49"/>
      <c r="K12" s="49"/>
      <c r="L12" s="49"/>
      <c r="M12" s="49"/>
      <c r="N12" s="49"/>
      <c r="O12" s="50">
        <v>2190.56</v>
      </c>
      <c r="P12" s="50">
        <v>2795.8</v>
      </c>
      <c r="Q12" s="50"/>
      <c r="R12" s="50">
        <v>833.53599999999994</v>
      </c>
      <c r="S12" s="50"/>
      <c r="T12" s="50"/>
      <c r="V12" s="91">
        <f t="shared" ref="V12:V18" si="2">D12</f>
        <v>5820</v>
      </c>
      <c r="X12" s="91"/>
    </row>
    <row r="13" spans="1:26" ht="31.5" x14ac:dyDescent="0.25">
      <c r="A13" s="45" t="s">
        <v>133</v>
      </c>
      <c r="B13" s="53" t="s">
        <v>134</v>
      </c>
      <c r="C13" s="34"/>
      <c r="D13" s="47">
        <v>7813</v>
      </c>
      <c r="E13" s="48">
        <f t="shared" si="0"/>
        <v>6315.8877942742747</v>
      </c>
      <c r="F13" s="49">
        <f t="shared" si="1"/>
        <v>1497.1122057257253</v>
      </c>
      <c r="G13" s="49"/>
      <c r="H13" s="49"/>
      <c r="I13" s="49"/>
      <c r="J13" s="49"/>
      <c r="K13" s="49"/>
      <c r="L13" s="49"/>
      <c r="M13" s="49"/>
      <c r="N13" s="49"/>
      <c r="O13" s="50">
        <v>1804.896</v>
      </c>
      <c r="P13" s="50">
        <v>6007.6790000000001</v>
      </c>
      <c r="Q13" s="50"/>
      <c r="R13" s="50"/>
      <c r="S13" s="50"/>
      <c r="T13" s="50"/>
      <c r="V13" s="91">
        <f t="shared" si="2"/>
        <v>7813</v>
      </c>
      <c r="X13" s="91"/>
    </row>
    <row r="14" spans="1:26" ht="15.75" customHeight="1" x14ac:dyDescent="0.25">
      <c r="A14" s="45" t="s">
        <v>135</v>
      </c>
      <c r="B14" s="53" t="s">
        <v>136</v>
      </c>
      <c r="C14" s="34"/>
      <c r="D14" s="47">
        <v>1737</v>
      </c>
      <c r="E14" s="48">
        <f t="shared" si="0"/>
        <v>1404.1593624285697</v>
      </c>
      <c r="F14" s="49">
        <f t="shared" si="1"/>
        <v>332.84063757143031</v>
      </c>
      <c r="G14" s="49"/>
      <c r="H14" s="49"/>
      <c r="I14" s="49"/>
      <c r="J14" s="49"/>
      <c r="K14" s="49"/>
      <c r="L14" s="49"/>
      <c r="M14" s="49"/>
      <c r="N14" s="49"/>
      <c r="O14" s="50"/>
      <c r="P14" s="50"/>
      <c r="Q14" s="50"/>
      <c r="R14" s="50">
        <v>1737.0039999999999</v>
      </c>
      <c r="S14" s="50"/>
      <c r="T14" s="50"/>
      <c r="V14" s="91">
        <f t="shared" si="2"/>
        <v>1737</v>
      </c>
      <c r="X14" s="91"/>
    </row>
    <row r="15" spans="1:26" ht="44.25" customHeight="1" x14ac:dyDescent="0.25">
      <c r="A15" s="45" t="s">
        <v>137</v>
      </c>
      <c r="B15" s="53" t="s">
        <v>138</v>
      </c>
      <c r="C15" s="34"/>
      <c r="D15" s="47">
        <v>1928</v>
      </c>
      <c r="E15" s="48">
        <f t="shared" si="0"/>
        <v>1558.5603055626264</v>
      </c>
      <c r="F15" s="49">
        <f t="shared" si="1"/>
        <v>369.43969443737365</v>
      </c>
      <c r="G15" s="49"/>
      <c r="H15" s="49"/>
      <c r="I15" s="49"/>
      <c r="J15" s="49"/>
      <c r="K15" s="49"/>
      <c r="L15" s="49"/>
      <c r="M15" s="49"/>
      <c r="N15" s="49"/>
      <c r="O15" s="50"/>
      <c r="P15" s="50"/>
      <c r="Q15" s="50"/>
      <c r="R15" s="50"/>
      <c r="S15" s="50"/>
      <c r="T15" s="50">
        <v>1927.53</v>
      </c>
      <c r="V15" s="91">
        <f t="shared" si="2"/>
        <v>1928</v>
      </c>
      <c r="X15" s="91"/>
      <c r="Z15" s="91"/>
    </row>
    <row r="16" spans="1:26" ht="35.25" customHeight="1" x14ac:dyDescent="0.25">
      <c r="A16" s="45" t="s">
        <v>139</v>
      </c>
      <c r="B16" s="53" t="s">
        <v>140</v>
      </c>
      <c r="C16" s="34"/>
      <c r="D16" s="47">
        <v>1024</v>
      </c>
      <c r="E16" s="48">
        <f t="shared" si="0"/>
        <v>827.78306685483892</v>
      </c>
      <c r="F16" s="49">
        <f t="shared" si="1"/>
        <v>196.21693314516108</v>
      </c>
      <c r="G16" s="49"/>
      <c r="H16" s="49"/>
      <c r="I16" s="49"/>
      <c r="J16" s="49"/>
      <c r="K16" s="49"/>
      <c r="L16" s="49"/>
      <c r="M16" s="49"/>
      <c r="N16" s="49"/>
      <c r="O16" s="50"/>
      <c r="P16" s="50"/>
      <c r="Q16" s="50"/>
      <c r="R16" s="50"/>
      <c r="S16" s="50">
        <v>1023.846</v>
      </c>
      <c r="T16" s="50"/>
      <c r="V16" s="91">
        <f t="shared" si="2"/>
        <v>1024</v>
      </c>
      <c r="X16" s="91"/>
    </row>
    <row r="17" spans="1:25" ht="31.5" x14ac:dyDescent="0.25">
      <c r="A17" s="45" t="s">
        <v>141</v>
      </c>
      <c r="B17" s="53" t="s">
        <v>142</v>
      </c>
      <c r="C17" s="34"/>
      <c r="D17" s="47">
        <v>253</v>
      </c>
      <c r="E17" s="48">
        <f t="shared" si="0"/>
        <v>204.52062101003347</v>
      </c>
      <c r="F17" s="49">
        <f t="shared" si="1"/>
        <v>48.479378989966534</v>
      </c>
      <c r="G17" s="49"/>
      <c r="H17" s="49"/>
      <c r="I17" s="49"/>
      <c r="J17" s="49"/>
      <c r="K17" s="49"/>
      <c r="L17" s="49"/>
      <c r="M17" s="49"/>
      <c r="N17" s="49"/>
      <c r="O17" s="50">
        <v>20.574000000000002</v>
      </c>
      <c r="P17" s="50">
        <v>232.75299999999999</v>
      </c>
      <c r="Q17" s="50"/>
      <c r="R17" s="50"/>
      <c r="S17" s="50"/>
      <c r="T17" s="50"/>
      <c r="V17" s="91">
        <f t="shared" si="2"/>
        <v>253</v>
      </c>
      <c r="X17" s="91"/>
    </row>
    <row r="18" spans="1:25" ht="15.75" customHeight="1" x14ac:dyDescent="0.25">
      <c r="A18" s="541" t="s">
        <v>143</v>
      </c>
      <c r="B18" s="542"/>
      <c r="C18" s="548"/>
      <c r="D18" s="54">
        <f>D11+D12+D13+D14+D15+D16+D17</f>
        <v>65996</v>
      </c>
      <c r="E18" s="55">
        <f>SUM(E11:E17)</f>
        <v>53349.971953273394</v>
      </c>
      <c r="F18" s="138">
        <f t="shared" si="1"/>
        <v>12646.028046726606</v>
      </c>
      <c r="G18" s="56"/>
      <c r="H18" s="56"/>
      <c r="I18" s="56"/>
      <c r="J18" s="56"/>
      <c r="K18" s="56"/>
      <c r="L18" s="56"/>
      <c r="M18" s="56"/>
      <c r="N18" s="47">
        <f>SUM(N11:N17)</f>
        <v>5906.616</v>
      </c>
      <c r="O18" s="47">
        <f t="shared" ref="O18:T18" si="3">O11+O12+O13+O14+O15+O16+O17</f>
        <v>14721.262000000001</v>
      </c>
      <c r="P18" s="47">
        <f t="shared" si="3"/>
        <v>14236.846000000001</v>
      </c>
      <c r="Q18" s="47">
        <f t="shared" si="3"/>
        <v>0</v>
      </c>
      <c r="R18" s="47">
        <f t="shared" si="3"/>
        <v>13062.538</v>
      </c>
      <c r="S18" s="47">
        <f t="shared" si="3"/>
        <v>10228.357</v>
      </c>
      <c r="T18" s="47">
        <f t="shared" si="3"/>
        <v>7840.0129999999999</v>
      </c>
      <c r="V18" s="91">
        <f t="shared" si="2"/>
        <v>65996</v>
      </c>
      <c r="X18" s="91"/>
    </row>
    <row r="19" spans="1:25" ht="64.5" customHeight="1" x14ac:dyDescent="0.25">
      <c r="A19" s="56" t="s">
        <v>144</v>
      </c>
      <c r="B19" s="549" t="s">
        <v>145</v>
      </c>
      <c r="C19" s="550"/>
      <c r="D19" s="550"/>
      <c r="E19" s="550"/>
      <c r="F19" s="550"/>
      <c r="G19" s="550"/>
      <c r="H19" s="550"/>
      <c r="I19" s="550"/>
      <c r="J19" s="550"/>
      <c r="K19" s="550"/>
      <c r="L19" s="550"/>
      <c r="M19" s="550"/>
      <c r="N19" s="550"/>
      <c r="O19" s="550"/>
      <c r="P19" s="550"/>
      <c r="Q19" s="550"/>
      <c r="R19" s="550"/>
      <c r="S19" s="550"/>
      <c r="T19" s="550"/>
      <c r="X19" s="91"/>
    </row>
    <row r="20" spans="1:25" ht="31.5" x14ac:dyDescent="0.25">
      <c r="A20" s="56" t="s">
        <v>146</v>
      </c>
      <c r="B20" s="58" t="s">
        <v>147</v>
      </c>
      <c r="C20" s="59"/>
      <c r="D20" s="60">
        <v>4843</v>
      </c>
      <c r="E20" s="48">
        <f t="shared" ref="E20:E21" si="4">D20/$D$26*$E$26</f>
        <v>3914.9935476347509</v>
      </c>
      <c r="F20" s="61">
        <f>D20-E20</f>
        <v>928.00645236524906</v>
      </c>
      <c r="G20" s="59"/>
      <c r="H20" s="59"/>
      <c r="I20" s="59"/>
      <c r="J20" s="59"/>
      <c r="K20" s="59"/>
      <c r="L20" s="59"/>
      <c r="M20" s="59"/>
      <c r="N20" s="59"/>
      <c r="O20" s="61">
        <v>4843.3140000000003</v>
      </c>
      <c r="P20" s="61"/>
      <c r="Q20" s="61"/>
      <c r="R20" s="60"/>
      <c r="S20" s="60"/>
      <c r="T20" s="60"/>
      <c r="V20" s="91">
        <f>D20</f>
        <v>4843</v>
      </c>
      <c r="X20" s="91"/>
      <c r="Y20" s="91"/>
    </row>
    <row r="21" spans="1:25" ht="31.5" x14ac:dyDescent="0.25">
      <c r="A21" s="56" t="s">
        <v>148</v>
      </c>
      <c r="B21" s="62" t="s">
        <v>149</v>
      </c>
      <c r="C21" s="34"/>
      <c r="D21" s="60">
        <v>3213</v>
      </c>
      <c r="E21" s="48">
        <f t="shared" si="4"/>
        <v>2597.3310486373025</v>
      </c>
      <c r="F21" s="61">
        <f t="shared" ref="F21:F22" si="5">D21-E21</f>
        <v>615.6689513626975</v>
      </c>
      <c r="G21" s="49"/>
      <c r="H21" s="49"/>
      <c r="I21" s="49"/>
      <c r="J21" s="49"/>
      <c r="K21" s="49"/>
      <c r="L21" s="49"/>
      <c r="M21" s="49"/>
      <c r="N21" s="49"/>
      <c r="O21" s="50">
        <v>3212.8429999999998</v>
      </c>
      <c r="P21" s="50"/>
      <c r="Q21" s="50"/>
      <c r="R21" s="47"/>
      <c r="S21" s="47"/>
      <c r="T21" s="47"/>
      <c r="V21" s="91">
        <f t="shared" ref="V21:V22" si="6">D21</f>
        <v>3213</v>
      </c>
      <c r="X21" s="91"/>
    </row>
    <row r="22" spans="1:25" ht="15.75" x14ac:dyDescent="0.25">
      <c r="A22" s="541" t="s">
        <v>150</v>
      </c>
      <c r="B22" s="542"/>
      <c r="C22" s="548"/>
      <c r="D22" s="47">
        <f>D20+D21</f>
        <v>8056</v>
      </c>
      <c r="E22" s="47">
        <f>SUM(E20:E21)</f>
        <v>6512.3245962720539</v>
      </c>
      <c r="F22" s="60">
        <f t="shared" si="5"/>
        <v>1543.6754037279461</v>
      </c>
      <c r="G22" s="56"/>
      <c r="H22" s="56"/>
      <c r="I22" s="56"/>
      <c r="J22" s="56"/>
      <c r="K22" s="56"/>
      <c r="L22" s="56"/>
      <c r="M22" s="56"/>
      <c r="N22" s="34">
        <v>0</v>
      </c>
      <c r="O22" s="47">
        <f>O20+O21</f>
        <v>8056.1570000000002</v>
      </c>
      <c r="P22" s="47">
        <f>P20+P21</f>
        <v>0</v>
      </c>
      <c r="Q22" s="47">
        <f>Q20+Q21</f>
        <v>0</v>
      </c>
      <c r="R22" s="47">
        <v>0</v>
      </c>
      <c r="S22" s="47">
        <v>0</v>
      </c>
      <c r="T22" s="47">
        <v>0</v>
      </c>
      <c r="V22" s="91">
        <f t="shared" si="6"/>
        <v>8056</v>
      </c>
      <c r="X22" s="91"/>
    </row>
    <row r="23" spans="1:25" ht="15.75" x14ac:dyDescent="0.25">
      <c r="A23" s="41" t="s">
        <v>151</v>
      </c>
      <c r="B23" s="549" t="s">
        <v>152</v>
      </c>
      <c r="C23" s="550"/>
      <c r="D23" s="550"/>
      <c r="E23" s="550"/>
      <c r="F23" s="550"/>
      <c r="G23" s="550"/>
      <c r="H23" s="550"/>
      <c r="I23" s="550"/>
      <c r="J23" s="550"/>
      <c r="K23" s="550"/>
      <c r="L23" s="550"/>
      <c r="M23" s="550"/>
      <c r="N23" s="550"/>
      <c r="O23" s="550"/>
      <c r="P23" s="550"/>
      <c r="Q23" s="550"/>
      <c r="R23" s="550"/>
      <c r="S23" s="550"/>
      <c r="T23" s="550"/>
      <c r="X23" s="91"/>
    </row>
    <row r="24" spans="1:25" ht="31.5" x14ac:dyDescent="0.25">
      <c r="A24" s="34"/>
      <c r="B24" s="64" t="s">
        <v>153</v>
      </c>
      <c r="C24" s="65"/>
      <c r="D24" s="60">
        <v>4297</v>
      </c>
      <c r="E24" s="48">
        <f t="shared" ref="E24" si="7">D24/$D$26*$E$26</f>
        <v>3473.6170295656666</v>
      </c>
      <c r="F24" s="61">
        <f>D24-E24</f>
        <v>823.3829704343334</v>
      </c>
      <c r="G24" s="65"/>
      <c r="H24" s="65"/>
      <c r="I24" s="65"/>
      <c r="J24" s="65"/>
      <c r="K24" s="65"/>
      <c r="L24" s="65"/>
      <c r="M24" s="65"/>
      <c r="N24" s="65"/>
      <c r="O24" s="47"/>
      <c r="P24" s="47"/>
      <c r="Q24" s="50">
        <v>4297.4350000000004</v>
      </c>
      <c r="R24" s="50"/>
      <c r="S24" s="47"/>
      <c r="T24" s="47"/>
      <c r="V24" s="91">
        <f>D24</f>
        <v>4297</v>
      </c>
      <c r="X24" s="91"/>
    </row>
    <row r="25" spans="1:25" ht="15.75" x14ac:dyDescent="0.25">
      <c r="A25" s="541" t="s">
        <v>154</v>
      </c>
      <c r="B25" s="542"/>
      <c r="C25" s="548"/>
      <c r="D25" s="47">
        <f>D24</f>
        <v>4297</v>
      </c>
      <c r="E25" s="60">
        <f>E24</f>
        <v>3473.6170295656666</v>
      </c>
      <c r="F25" s="61">
        <f t="shared" ref="F25:F26" si="8">D25-E25</f>
        <v>823.3829704343334</v>
      </c>
      <c r="G25" s="56"/>
      <c r="H25" s="56"/>
      <c r="I25" s="56"/>
      <c r="J25" s="56"/>
      <c r="K25" s="56"/>
      <c r="L25" s="56"/>
      <c r="M25" s="56"/>
      <c r="N25" s="34">
        <v>0</v>
      </c>
      <c r="O25" s="66">
        <f>O24</f>
        <v>0</v>
      </c>
      <c r="P25" s="66">
        <f>P24</f>
        <v>0</v>
      </c>
      <c r="Q25" s="66">
        <f>Q24</f>
        <v>4297.4350000000004</v>
      </c>
      <c r="R25" s="47">
        <v>0</v>
      </c>
      <c r="S25" s="34">
        <v>0</v>
      </c>
      <c r="T25" s="34">
        <v>0</v>
      </c>
      <c r="V25" s="91">
        <f t="shared" ref="V25:V26" si="9">D25</f>
        <v>4297</v>
      </c>
      <c r="X25" s="91"/>
    </row>
    <row r="26" spans="1:25" ht="15.75" x14ac:dyDescent="0.25">
      <c r="A26" s="551" t="s">
        <v>155</v>
      </c>
      <c r="B26" s="551"/>
      <c r="C26" s="551"/>
      <c r="D26" s="67">
        <f>D18+D22+D25</f>
        <v>78349</v>
      </c>
      <c r="E26" s="68">
        <f>' розрах Аморт ОЗ створ15'!B26</f>
        <v>63335.913579111111</v>
      </c>
      <c r="F26" s="60">
        <f t="shared" si="8"/>
        <v>15013.086420888889</v>
      </c>
      <c r="G26" s="69"/>
      <c r="H26" s="69"/>
      <c r="I26" s="69"/>
      <c r="J26" s="70"/>
      <c r="K26" s="69"/>
      <c r="L26" s="70"/>
      <c r="M26" s="69"/>
      <c r="N26" s="71">
        <f>N25+N22+N18</f>
        <v>5906.616</v>
      </c>
      <c r="O26" s="66">
        <f>O18+O22+O25</f>
        <v>22777.419000000002</v>
      </c>
      <c r="P26" s="66">
        <f t="shared" ref="P26:T26" si="10">P18+P22+P25</f>
        <v>14236.846000000001</v>
      </c>
      <c r="Q26" s="66">
        <f t="shared" si="10"/>
        <v>4297.4350000000004</v>
      </c>
      <c r="R26" s="66">
        <f t="shared" si="10"/>
        <v>13062.538</v>
      </c>
      <c r="S26" s="66">
        <f t="shared" si="10"/>
        <v>10228.357</v>
      </c>
      <c r="T26" s="66">
        <f t="shared" si="10"/>
        <v>7840.0129999999999</v>
      </c>
      <c r="V26" s="92">
        <f t="shared" si="9"/>
        <v>78349</v>
      </c>
      <c r="W26">
        <f>V26/$V$26</f>
        <v>1</v>
      </c>
      <c r="X26" s="92">
        <f t="shared" ref="X26" si="11">$E$26*W26</f>
        <v>63335.913579111111</v>
      </c>
    </row>
    <row r="27" spans="1:25" ht="15.75" x14ac:dyDescent="0.25">
      <c r="A27" s="75"/>
      <c r="B27" s="75"/>
      <c r="C27" s="75"/>
      <c r="D27" s="75"/>
      <c r="E27" s="75"/>
      <c r="F27" s="75"/>
      <c r="G27" s="75"/>
      <c r="H27" s="76"/>
      <c r="I27" s="76"/>
      <c r="J27" s="76"/>
      <c r="K27" s="76"/>
      <c r="L27" s="76"/>
      <c r="M27" s="76"/>
      <c r="N27" s="76"/>
      <c r="O27" s="77"/>
      <c r="P27" s="77"/>
      <c r="Q27" s="77"/>
      <c r="R27" s="77"/>
      <c r="S27" s="78"/>
      <c r="T27" s="78"/>
    </row>
    <row r="28" spans="1:25" x14ac:dyDescent="0.25">
      <c r="E28" s="91">
        <f>O28+P28+Q28+R28+S28+T28</f>
        <v>0</v>
      </c>
      <c r="F28" s="91">
        <f>F18+F22+F25</f>
        <v>15013.086420888885</v>
      </c>
      <c r="O28" s="91">
        <f>C43</f>
        <v>0</v>
      </c>
      <c r="P28" s="91">
        <f>F45</f>
        <v>0</v>
      </c>
      <c r="Q28" s="91">
        <f>G45</f>
        <v>0</v>
      </c>
      <c r="R28" s="91">
        <f>H45</f>
        <v>0</v>
      </c>
      <c r="S28" s="91">
        <f>I45</f>
        <v>0</v>
      </c>
      <c r="T28" s="91">
        <f>J45</f>
        <v>0</v>
      </c>
      <c r="V28" s="91"/>
    </row>
    <row r="30" spans="1:25" x14ac:dyDescent="0.25">
      <c r="W30" s="91"/>
    </row>
    <row r="31" spans="1:25" ht="15.75" thickBot="1" x14ac:dyDescent="0.3"/>
    <row r="32" spans="1:25" ht="15.75" x14ac:dyDescent="0.25">
      <c r="B32" s="303" t="s">
        <v>430</v>
      </c>
      <c r="C32" s="292" t="s">
        <v>425</v>
      </c>
      <c r="D32" s="292">
        <v>2018</v>
      </c>
      <c r="E32" s="292">
        <v>2019</v>
      </c>
      <c r="F32" s="292">
        <v>2020</v>
      </c>
      <c r="G32" s="292">
        <v>2021</v>
      </c>
      <c r="H32" s="292">
        <v>2022</v>
      </c>
      <c r="I32" s="292">
        <v>2023</v>
      </c>
      <c r="J32" s="292">
        <v>2024</v>
      </c>
      <c r="K32" s="292">
        <v>2025</v>
      </c>
      <c r="L32" s="292">
        <v>2026</v>
      </c>
      <c r="M32" s="292">
        <v>2027</v>
      </c>
      <c r="N32" s="292">
        <v>2028</v>
      </c>
      <c r="O32" s="292">
        <v>2029</v>
      </c>
      <c r="P32" s="293">
        <v>2030</v>
      </c>
    </row>
    <row r="33" spans="2:16" ht="15.75" x14ac:dyDescent="0.25">
      <c r="B33" s="300" t="s">
        <v>426</v>
      </c>
      <c r="C33" s="304">
        <v>34085.062011111106</v>
      </c>
      <c r="D33" s="304"/>
      <c r="E33" s="304"/>
      <c r="F33" s="304">
        <v>557.11537777777778</v>
      </c>
      <c r="G33" s="304">
        <v>1529.4212999999997</v>
      </c>
      <c r="H33" s="304">
        <v>2307.4264666666663</v>
      </c>
      <c r="I33" s="304">
        <v>2433.2657333333332</v>
      </c>
      <c r="J33" s="304">
        <v>3164.7344111111111</v>
      </c>
      <c r="K33" s="304">
        <v>3741.7903888888886</v>
      </c>
      <c r="L33" s="304">
        <v>4070.2616666666663</v>
      </c>
      <c r="M33" s="304">
        <v>4070.2616666666663</v>
      </c>
      <c r="N33" s="304">
        <v>4070.2616666666663</v>
      </c>
      <c r="O33" s="304">
        <v>4070.2616666666663</v>
      </c>
      <c r="P33" s="305">
        <v>4070.2616666666663</v>
      </c>
    </row>
    <row r="34" spans="2:16" ht="15.75" x14ac:dyDescent="0.25">
      <c r="B34" s="300" t="s">
        <v>427</v>
      </c>
      <c r="C34" s="304">
        <v>4942.1795666666667</v>
      </c>
      <c r="D34" s="304"/>
      <c r="E34" s="304"/>
      <c r="F34" s="304">
        <v>0.68580000000000008</v>
      </c>
      <c r="G34" s="304">
        <v>11.873233333333335</v>
      </c>
      <c r="H34" s="304">
        <v>50.665399999999998</v>
      </c>
      <c r="I34" s="304">
        <v>108.56553333333333</v>
      </c>
      <c r="J34" s="304">
        <v>432.19439999999992</v>
      </c>
      <c r="K34" s="304">
        <v>667.08639999999991</v>
      </c>
      <c r="L34" s="304">
        <v>984.22659999999996</v>
      </c>
      <c r="M34" s="304">
        <v>937.67599999999982</v>
      </c>
      <c r="N34" s="304">
        <v>937.67599999999982</v>
      </c>
      <c r="O34" s="304">
        <v>590.27519999999981</v>
      </c>
      <c r="P34" s="305">
        <v>221.25499999999994</v>
      </c>
    </row>
    <row r="35" spans="2:16" ht="15.75" x14ac:dyDescent="0.25">
      <c r="B35" s="300" t="s">
        <v>428</v>
      </c>
      <c r="C35" s="304">
        <v>8056.1569999999992</v>
      </c>
      <c r="D35" s="304"/>
      <c r="E35" s="304"/>
      <c r="F35" s="304">
        <v>335.67320833333332</v>
      </c>
      <c r="G35" s="304">
        <v>2014.03925</v>
      </c>
      <c r="H35" s="304">
        <v>2014.03925</v>
      </c>
      <c r="I35" s="304">
        <v>2014.03925</v>
      </c>
      <c r="J35" s="304">
        <v>1678.3660416666667</v>
      </c>
      <c r="K35" s="304"/>
      <c r="L35" s="304"/>
      <c r="M35" s="304"/>
      <c r="N35" s="304"/>
      <c r="O35" s="304"/>
      <c r="P35" s="305"/>
    </row>
    <row r="36" spans="2:16" ht="15.75" thickBot="1" x14ac:dyDescent="0.3">
      <c r="B36" s="302" t="s">
        <v>429</v>
      </c>
      <c r="C36" s="311">
        <v>4297.4350000000004</v>
      </c>
      <c r="D36" s="311"/>
      <c r="E36" s="311"/>
      <c r="F36" s="311"/>
      <c r="G36" s="311"/>
      <c r="H36" s="311">
        <v>358.11958333333337</v>
      </c>
      <c r="I36" s="311">
        <v>2148.7175000000002</v>
      </c>
      <c r="J36" s="311">
        <v>1790.5979166666668</v>
      </c>
      <c r="K36" s="306"/>
      <c r="L36" s="306"/>
      <c r="M36" s="306"/>
      <c r="N36" s="306"/>
      <c r="O36" s="306"/>
      <c r="P36" s="307"/>
    </row>
    <row r="37" spans="2:16" ht="15.75" thickBot="1" x14ac:dyDescent="0.3">
      <c r="B37" s="299" t="s">
        <v>100</v>
      </c>
      <c r="C37" s="308">
        <v>63811.865471777775</v>
      </c>
      <c r="D37" s="308">
        <v>0</v>
      </c>
      <c r="E37" s="308">
        <v>0</v>
      </c>
      <c r="F37" s="308">
        <v>2075.4505701111111</v>
      </c>
      <c r="G37" s="308">
        <v>4537.5904833333334</v>
      </c>
      <c r="H37" s="308">
        <v>5951.9700959999991</v>
      </c>
      <c r="I37" s="308">
        <v>7837.1246306666671</v>
      </c>
      <c r="J37" s="308">
        <v>8210.2518294444435</v>
      </c>
      <c r="K37" s="308">
        <v>5555.2528688888888</v>
      </c>
      <c r="L37" s="308">
        <v>6178.849838666667</v>
      </c>
      <c r="M37" s="308">
        <v>6132.2992386666665</v>
      </c>
      <c r="N37" s="308">
        <v>6132.2992386666665</v>
      </c>
      <c r="O37" s="308">
        <v>5784.8984386666671</v>
      </c>
      <c r="P37" s="309">
        <v>5415.8782386666662</v>
      </c>
    </row>
    <row r="39" spans="2:16" x14ac:dyDescent="0.25">
      <c r="B39" t="s">
        <v>156</v>
      </c>
      <c r="C39" s="91"/>
      <c r="E39" s="91"/>
      <c r="F39" s="91"/>
      <c r="G39" s="91"/>
      <c r="H39" s="91"/>
      <c r="I39" s="91"/>
      <c r="J39" s="91"/>
    </row>
    <row r="41" spans="2:16" x14ac:dyDescent="0.25">
      <c r="B41" t="s">
        <v>157</v>
      </c>
      <c r="C41" s="91"/>
      <c r="E41" s="91"/>
      <c r="F41" s="91"/>
      <c r="G41" s="91"/>
      <c r="H41" s="91"/>
      <c r="I41" s="91"/>
      <c r="J41" s="91"/>
    </row>
    <row r="43" spans="2:16" x14ac:dyDescent="0.25">
      <c r="B43" t="s">
        <v>158</v>
      </c>
      <c r="C43" s="91"/>
      <c r="E43" s="91"/>
    </row>
    <row r="45" spans="2:16" x14ac:dyDescent="0.25">
      <c r="B45" t="s">
        <v>159</v>
      </c>
      <c r="C45" s="91"/>
      <c r="E45" s="91"/>
      <c r="F45" s="91"/>
      <c r="G45" s="91"/>
      <c r="H45" s="91"/>
      <c r="I45" s="91"/>
      <c r="J45" s="91"/>
    </row>
    <row r="46" spans="2:16" x14ac:dyDescent="0.25">
      <c r="F46" s="91"/>
    </row>
  </sheetData>
  <mergeCells count="32">
    <mergeCell ref="A25:C25"/>
    <mergeCell ref="A26:C26"/>
    <mergeCell ref="A1:G1"/>
    <mergeCell ref="B9:T9"/>
    <mergeCell ref="B10:T10"/>
    <mergeCell ref="A18:C18"/>
    <mergeCell ref="B19:T19"/>
    <mergeCell ref="A22:C22"/>
    <mergeCell ref="B23:T23"/>
    <mergeCell ref="E5:E6"/>
    <mergeCell ref="F5:F6"/>
    <mergeCell ref="G5:G6"/>
    <mergeCell ref="H5:H6"/>
    <mergeCell ref="I5:J5"/>
    <mergeCell ref="B8:T8"/>
    <mergeCell ref="O4:O6"/>
    <mergeCell ref="A3:A6"/>
    <mergeCell ref="B3:B6"/>
    <mergeCell ref="C3:C6"/>
    <mergeCell ref="D3:J3"/>
    <mergeCell ref="K3:K6"/>
    <mergeCell ref="L3:L6"/>
    <mergeCell ref="M3:M6"/>
    <mergeCell ref="N3:T3"/>
    <mergeCell ref="D4:D6"/>
    <mergeCell ref="E4:J4"/>
    <mergeCell ref="N4:N6"/>
    <mergeCell ref="P4:P6"/>
    <mergeCell ref="Q4:Q6"/>
    <mergeCell ref="R4:R6"/>
    <mergeCell ref="S4:S6"/>
    <mergeCell ref="T4:T6"/>
  </mergeCells>
  <pageMargins left="0.7" right="0.7" top="0.75" bottom="0.75" header="0.3" footer="0.3"/>
  <pageSetup paperSize="8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8"/>
  <sheetViews>
    <sheetView topLeftCell="G1" workbookViewId="0">
      <selection activeCell="AA9" sqref="AA9"/>
    </sheetView>
  </sheetViews>
  <sheetFormatPr defaultRowHeight="15" outlineLevelRow="1" x14ac:dyDescent="0.25"/>
  <cols>
    <col min="1" max="1" width="4" style="1" customWidth="1"/>
    <col min="2" max="2" width="11.7109375" style="1" bestFit="1" customWidth="1"/>
    <col min="3" max="3" width="57.85546875" style="1" customWidth="1"/>
    <col min="4" max="4" width="9.28515625" style="1" bestFit="1" customWidth="1"/>
    <col min="5" max="5" width="9.140625" style="1"/>
    <col min="6" max="15" width="9.28515625" style="1" bestFit="1" customWidth="1"/>
    <col min="16" max="20" width="9.28515625" style="1" customWidth="1"/>
    <col min="21" max="26" width="9.28515625" style="1" bestFit="1" customWidth="1"/>
    <col min="27" max="16384" width="9.140625" style="1"/>
  </cols>
  <sheetData>
    <row r="1" spans="2:26" ht="15.75" x14ac:dyDescent="0.25">
      <c r="W1" s="518"/>
      <c r="Z1" s="519" t="s">
        <v>545</v>
      </c>
    </row>
    <row r="2" spans="2:26" ht="16.5" thickBot="1" x14ac:dyDescent="0.3">
      <c r="Z2" s="519" t="s">
        <v>546</v>
      </c>
    </row>
    <row r="3" spans="2:26" ht="31.5" customHeight="1" x14ac:dyDescent="0.25"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7" t="s">
        <v>161</v>
      </c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</row>
    <row r="4" spans="2:26" ht="15.75" x14ac:dyDescent="0.25"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8" t="s">
        <v>162</v>
      </c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</row>
    <row r="5" spans="2:26" ht="15.75" x14ac:dyDescent="0.25">
      <c r="B5" s="565"/>
      <c r="C5" s="565"/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8" t="s">
        <v>163</v>
      </c>
      <c r="O5" s="568"/>
      <c r="P5" s="568"/>
      <c r="Q5" s="568"/>
      <c r="R5" s="568"/>
      <c r="S5" s="568"/>
      <c r="T5" s="568"/>
      <c r="U5" s="568"/>
      <c r="V5" s="568"/>
      <c r="W5" s="568"/>
      <c r="X5" s="568"/>
      <c r="Y5" s="568"/>
      <c r="Z5" s="568"/>
    </row>
    <row r="6" spans="2:26" ht="15.75" x14ac:dyDescent="0.25">
      <c r="B6" s="565"/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8" t="s">
        <v>164</v>
      </c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</row>
    <row r="7" spans="2:26" ht="16.5" thickBot="1" x14ac:dyDescent="0.3">
      <c r="B7" s="566"/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9" t="s">
        <v>165</v>
      </c>
      <c r="O7" s="569"/>
      <c r="P7" s="569"/>
      <c r="Q7" s="569"/>
      <c r="R7" s="569"/>
      <c r="S7" s="569"/>
      <c r="T7" s="569"/>
      <c r="U7" s="569"/>
      <c r="V7" s="569"/>
      <c r="W7" s="569"/>
      <c r="X7" s="569"/>
      <c r="Y7" s="569"/>
      <c r="Z7" s="569"/>
    </row>
    <row r="8" spans="2:26" ht="15.75" x14ac:dyDescent="0.25">
      <c r="B8" s="561" t="s">
        <v>166</v>
      </c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 t="s">
        <v>167</v>
      </c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</row>
    <row r="9" spans="2:26" ht="15.75" x14ac:dyDescent="0.25">
      <c r="B9" s="562" t="s">
        <v>168</v>
      </c>
      <c r="C9" s="562"/>
      <c r="D9" s="562"/>
      <c r="E9" s="562"/>
      <c r="F9" s="562"/>
      <c r="G9" s="562"/>
      <c r="H9" s="562"/>
      <c r="I9" s="562"/>
      <c r="J9" s="562"/>
      <c r="K9" s="562"/>
      <c r="L9" s="562"/>
      <c r="M9" s="562"/>
      <c r="N9" s="562" t="s">
        <v>169</v>
      </c>
      <c r="O9" s="562"/>
      <c r="P9" s="562"/>
      <c r="Q9" s="562"/>
      <c r="R9" s="562"/>
      <c r="S9" s="562"/>
      <c r="T9" s="562"/>
      <c r="U9" s="562"/>
      <c r="V9" s="562"/>
      <c r="W9" s="562"/>
      <c r="X9" s="562"/>
      <c r="Y9" s="562"/>
      <c r="Z9" s="562"/>
    </row>
    <row r="10" spans="2:26" ht="15.75" x14ac:dyDescent="0.25">
      <c r="B10" s="562" t="s">
        <v>170</v>
      </c>
      <c r="C10" s="562"/>
      <c r="D10" s="562"/>
      <c r="E10" s="562"/>
      <c r="F10" s="562"/>
      <c r="G10" s="562"/>
      <c r="H10" s="562"/>
      <c r="I10" s="562"/>
      <c r="J10" s="562"/>
      <c r="K10" s="562"/>
      <c r="L10" s="562"/>
      <c r="M10" s="562"/>
      <c r="N10" s="563" t="s">
        <v>171</v>
      </c>
      <c r="O10" s="563"/>
      <c r="P10" s="563"/>
      <c r="Q10" s="563"/>
      <c r="R10" s="563"/>
      <c r="S10" s="563"/>
      <c r="T10" s="563"/>
      <c r="U10" s="563"/>
      <c r="V10" s="563"/>
      <c r="W10" s="563"/>
      <c r="X10" s="563"/>
      <c r="Y10" s="563"/>
      <c r="Z10" s="563"/>
    </row>
    <row r="11" spans="2:26" ht="15.75" x14ac:dyDescent="0.25">
      <c r="B11" s="563" t="s">
        <v>172</v>
      </c>
      <c r="C11" s="563"/>
      <c r="D11" s="563"/>
      <c r="E11" s="563"/>
      <c r="F11" s="563"/>
      <c r="G11" s="563"/>
      <c r="H11" s="563"/>
      <c r="I11" s="563"/>
      <c r="J11" s="563"/>
      <c r="K11" s="563"/>
      <c r="L11" s="563"/>
      <c r="M11" s="563"/>
      <c r="N11" s="562" t="s">
        <v>169</v>
      </c>
      <c r="O11" s="562"/>
      <c r="P11" s="562"/>
      <c r="Q11" s="562"/>
      <c r="R11" s="562"/>
      <c r="S11" s="562"/>
      <c r="T11" s="562"/>
      <c r="U11" s="562"/>
      <c r="V11" s="562"/>
      <c r="W11" s="562"/>
      <c r="X11" s="562"/>
      <c r="Y11" s="562"/>
      <c r="Z11" s="562"/>
    </row>
    <row r="12" spans="2:26" x14ac:dyDescent="0.25">
      <c r="B12" s="570"/>
      <c r="C12" s="570"/>
      <c r="D12" s="570"/>
      <c r="E12" s="570"/>
      <c r="F12" s="570"/>
      <c r="G12" s="570"/>
      <c r="H12" s="570"/>
      <c r="I12" s="570"/>
      <c r="J12" s="570"/>
      <c r="K12" s="570"/>
      <c r="L12" s="570"/>
      <c r="M12" s="570"/>
      <c r="N12" s="563" t="s">
        <v>173</v>
      </c>
      <c r="O12" s="563"/>
      <c r="P12" s="563"/>
      <c r="Q12" s="563"/>
      <c r="R12" s="563"/>
      <c r="S12" s="563"/>
      <c r="T12" s="563"/>
      <c r="U12" s="563"/>
      <c r="V12" s="563"/>
      <c r="W12" s="563"/>
      <c r="X12" s="563"/>
      <c r="Y12" s="563"/>
      <c r="Z12" s="563"/>
    </row>
    <row r="13" spans="2:26" ht="15.75" x14ac:dyDescent="0.25">
      <c r="B13" s="562" t="s">
        <v>174</v>
      </c>
      <c r="C13" s="562"/>
      <c r="D13" s="562"/>
      <c r="E13" s="562"/>
      <c r="F13" s="562"/>
      <c r="G13" s="562"/>
      <c r="H13" s="562"/>
      <c r="I13" s="562"/>
      <c r="J13" s="562"/>
      <c r="K13" s="562"/>
      <c r="L13" s="562"/>
      <c r="M13" s="562"/>
      <c r="N13" s="570"/>
      <c r="O13" s="570"/>
      <c r="P13" s="570"/>
      <c r="Q13" s="570"/>
      <c r="R13" s="570"/>
      <c r="S13" s="570"/>
      <c r="T13" s="570"/>
      <c r="U13" s="570"/>
      <c r="V13" s="570"/>
      <c r="W13" s="570"/>
      <c r="X13" s="570"/>
      <c r="Y13" s="570"/>
      <c r="Z13" s="570"/>
    </row>
    <row r="14" spans="2:26" ht="15.75" x14ac:dyDescent="0.25">
      <c r="B14" s="562" t="s">
        <v>175</v>
      </c>
      <c r="C14" s="562"/>
      <c r="D14" s="562"/>
      <c r="E14" s="562"/>
      <c r="F14" s="562"/>
      <c r="G14" s="562"/>
      <c r="H14" s="562"/>
      <c r="I14" s="562"/>
      <c r="J14" s="562"/>
      <c r="K14" s="562"/>
      <c r="L14" s="562"/>
      <c r="M14" s="562"/>
      <c r="N14" s="570"/>
      <c r="O14" s="570"/>
      <c r="P14" s="570"/>
      <c r="Q14" s="570"/>
      <c r="R14" s="570"/>
      <c r="S14" s="570"/>
      <c r="T14" s="570"/>
      <c r="U14" s="570"/>
      <c r="V14" s="570"/>
      <c r="W14" s="570"/>
      <c r="X14" s="570"/>
      <c r="Y14" s="570"/>
      <c r="Z14" s="570"/>
    </row>
    <row r="15" spans="2:26" ht="15.75" x14ac:dyDescent="0.25">
      <c r="B15" s="570"/>
      <c r="C15" s="570"/>
      <c r="D15" s="570"/>
      <c r="E15" s="570"/>
      <c r="F15" s="570"/>
      <c r="G15" s="570"/>
      <c r="H15" s="570"/>
      <c r="I15" s="570"/>
      <c r="J15" s="570"/>
      <c r="K15" s="570"/>
      <c r="L15" s="570"/>
      <c r="M15" s="570"/>
      <c r="N15" s="562" t="s">
        <v>176</v>
      </c>
      <c r="O15" s="562"/>
      <c r="P15" s="562"/>
      <c r="Q15" s="562"/>
      <c r="R15" s="562"/>
      <c r="S15" s="562"/>
      <c r="T15" s="562"/>
      <c r="U15" s="562"/>
      <c r="V15" s="562"/>
      <c r="W15" s="562"/>
      <c r="X15" s="562"/>
      <c r="Y15" s="562"/>
      <c r="Z15" s="562"/>
    </row>
    <row r="16" spans="2:26" ht="15.75" x14ac:dyDescent="0.25">
      <c r="B16" s="93"/>
      <c r="E16" s="94"/>
      <c r="N16" s="562" t="s">
        <v>175</v>
      </c>
      <c r="O16" s="562"/>
      <c r="P16" s="562"/>
      <c r="Q16" s="562"/>
      <c r="R16" s="562"/>
      <c r="S16" s="562"/>
      <c r="T16" s="562"/>
      <c r="U16" s="562"/>
      <c r="V16" s="562"/>
      <c r="W16" s="562"/>
      <c r="X16" s="562"/>
      <c r="Y16" s="562"/>
      <c r="Z16" s="562"/>
    </row>
    <row r="17" spans="2:26" x14ac:dyDescent="0.25">
      <c r="B17" s="93"/>
      <c r="C17" s="93"/>
      <c r="D17" s="93"/>
      <c r="E17" s="94"/>
    </row>
    <row r="18" spans="2:26" ht="18.75" x14ac:dyDescent="0.25">
      <c r="B18" s="571" t="s">
        <v>177</v>
      </c>
      <c r="C18" s="571"/>
      <c r="D18" s="571"/>
      <c r="E18" s="571"/>
      <c r="F18" s="571"/>
      <c r="G18" s="571"/>
      <c r="H18" s="571"/>
      <c r="I18" s="571"/>
      <c r="J18" s="571"/>
      <c r="K18" s="571"/>
      <c r="L18" s="571"/>
      <c r="M18" s="571"/>
      <c r="N18" s="571"/>
      <c r="O18" s="571"/>
      <c r="P18" s="571"/>
      <c r="Q18" s="571"/>
      <c r="R18" s="571"/>
      <c r="S18" s="571"/>
      <c r="T18" s="571"/>
      <c r="U18" s="571"/>
      <c r="V18" s="571"/>
      <c r="W18" s="571"/>
      <c r="X18" s="571"/>
      <c r="Y18" s="571"/>
      <c r="Z18" s="571"/>
    </row>
    <row r="19" spans="2:26" ht="18.75" x14ac:dyDescent="0.25">
      <c r="B19" s="571" t="s">
        <v>513</v>
      </c>
      <c r="C19" s="571"/>
      <c r="D19" s="571"/>
      <c r="E19" s="571"/>
      <c r="F19" s="571"/>
      <c r="G19" s="571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71"/>
    </row>
    <row r="20" spans="2:26" ht="15.75" x14ac:dyDescent="0.25">
      <c r="B20" s="572" t="s">
        <v>178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2"/>
      <c r="P20" s="572"/>
      <c r="Q20" s="572"/>
      <c r="R20" s="572"/>
      <c r="S20" s="572"/>
      <c r="T20" s="572"/>
      <c r="U20" s="572"/>
      <c r="V20" s="572"/>
      <c r="W20" s="572"/>
      <c r="X20" s="572"/>
      <c r="Y20" s="572"/>
      <c r="Z20" s="572"/>
    </row>
    <row r="21" spans="2:26" ht="15.75" thickBot="1" x14ac:dyDescent="0.3">
      <c r="B21" s="573" t="s">
        <v>179</v>
      </c>
      <c r="C21" s="573"/>
      <c r="D21" s="573"/>
      <c r="E21" s="573"/>
      <c r="F21" s="573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3"/>
    </row>
    <row r="22" spans="2:26" ht="45" customHeight="1" thickBot="1" x14ac:dyDescent="0.3">
      <c r="B22" s="574" t="s">
        <v>108</v>
      </c>
      <c r="C22" s="574" t="s">
        <v>109</v>
      </c>
      <c r="D22" s="574" t="s">
        <v>110</v>
      </c>
      <c r="E22" s="574" t="s">
        <v>180</v>
      </c>
      <c r="F22" s="574"/>
      <c r="G22" s="574"/>
      <c r="H22" s="574"/>
      <c r="I22" s="574"/>
      <c r="J22" s="574"/>
      <c r="K22" s="574"/>
      <c r="L22" s="574" t="s">
        <v>181</v>
      </c>
      <c r="M22" s="574"/>
      <c r="N22" s="574" t="s">
        <v>182</v>
      </c>
      <c r="O22" s="574"/>
      <c r="P22" s="574"/>
      <c r="Q22" s="574"/>
      <c r="R22" s="574"/>
      <c r="S22" s="574"/>
      <c r="T22" s="574"/>
      <c r="U22" s="574"/>
      <c r="V22" s="574" t="s">
        <v>183</v>
      </c>
      <c r="W22" s="574" t="s">
        <v>184</v>
      </c>
      <c r="X22" s="574" t="s">
        <v>185</v>
      </c>
      <c r="Y22" s="574" t="s">
        <v>186</v>
      </c>
      <c r="Z22" s="574" t="s">
        <v>187</v>
      </c>
    </row>
    <row r="23" spans="2:26" ht="15.75" thickBot="1" x14ac:dyDescent="0.3">
      <c r="B23" s="574"/>
      <c r="C23" s="574"/>
      <c r="D23" s="574"/>
      <c r="E23" s="574" t="s">
        <v>188</v>
      </c>
      <c r="F23" s="574" t="s">
        <v>117</v>
      </c>
      <c r="G23" s="574"/>
      <c r="H23" s="574"/>
      <c r="I23" s="574"/>
      <c r="J23" s="574"/>
      <c r="K23" s="574"/>
      <c r="L23" s="574" t="s">
        <v>189</v>
      </c>
      <c r="M23" s="574" t="s">
        <v>190</v>
      </c>
      <c r="N23" s="574" t="s">
        <v>341</v>
      </c>
      <c r="O23" s="574" t="s">
        <v>191</v>
      </c>
      <c r="P23" s="574"/>
      <c r="Q23" s="574"/>
      <c r="R23" s="574"/>
      <c r="S23" s="574"/>
      <c r="T23" s="574"/>
      <c r="U23" s="574"/>
      <c r="V23" s="574"/>
      <c r="W23" s="574"/>
      <c r="X23" s="574"/>
      <c r="Y23" s="574"/>
      <c r="Z23" s="574"/>
    </row>
    <row r="24" spans="2:26" ht="27.75" customHeight="1" thickBot="1" x14ac:dyDescent="0.3">
      <c r="B24" s="574"/>
      <c r="C24" s="574"/>
      <c r="D24" s="574"/>
      <c r="E24" s="574"/>
      <c r="F24" s="574" t="s">
        <v>192</v>
      </c>
      <c r="G24" s="574" t="s">
        <v>119</v>
      </c>
      <c r="H24" s="574" t="s">
        <v>193</v>
      </c>
      <c r="I24" s="574" t="s">
        <v>194</v>
      </c>
      <c r="J24" s="574"/>
      <c r="K24" s="574" t="s">
        <v>195</v>
      </c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  <c r="W24" s="574"/>
      <c r="X24" s="574"/>
      <c r="Y24" s="574"/>
      <c r="Z24" s="574"/>
    </row>
    <row r="25" spans="2:26" ht="64.5" thickBot="1" x14ac:dyDescent="0.3">
      <c r="B25" s="574"/>
      <c r="C25" s="574"/>
      <c r="D25" s="574"/>
      <c r="E25" s="574"/>
      <c r="F25" s="574"/>
      <c r="G25" s="574"/>
      <c r="H25" s="574"/>
      <c r="I25" s="95" t="s">
        <v>196</v>
      </c>
      <c r="J25" s="95" t="s">
        <v>197</v>
      </c>
      <c r="K25" s="574"/>
      <c r="L25" s="574"/>
      <c r="M25" s="574"/>
      <c r="N25" s="574"/>
      <c r="O25" s="96" t="s">
        <v>285</v>
      </c>
      <c r="P25" s="97" t="s">
        <v>198</v>
      </c>
      <c r="Q25" s="97" t="s">
        <v>199</v>
      </c>
      <c r="R25" s="97" t="s">
        <v>200</v>
      </c>
      <c r="S25" s="97" t="s">
        <v>201</v>
      </c>
      <c r="T25" s="97" t="s">
        <v>202</v>
      </c>
      <c r="U25" s="96" t="s">
        <v>203</v>
      </c>
      <c r="V25" s="574"/>
      <c r="W25" s="574"/>
      <c r="X25" s="574"/>
      <c r="Y25" s="574"/>
      <c r="Z25" s="574"/>
    </row>
    <row r="26" spans="2:26" ht="15.75" thickBot="1" x14ac:dyDescent="0.3">
      <c r="B26" s="164">
        <v>1</v>
      </c>
      <c r="C26" s="95">
        <v>2</v>
      </c>
      <c r="D26" s="95">
        <v>3</v>
      </c>
      <c r="E26" s="95">
        <v>4</v>
      </c>
      <c r="F26" s="95">
        <v>5</v>
      </c>
      <c r="G26" s="95">
        <v>6</v>
      </c>
      <c r="H26" s="95">
        <v>7</v>
      </c>
      <c r="I26" s="95">
        <v>8</v>
      </c>
      <c r="J26" s="95">
        <v>9</v>
      </c>
      <c r="K26" s="95">
        <v>10</v>
      </c>
      <c r="L26" s="95">
        <v>11</v>
      </c>
      <c r="M26" s="95">
        <v>12</v>
      </c>
      <c r="N26" s="95">
        <v>13</v>
      </c>
      <c r="O26" s="95">
        <v>14</v>
      </c>
      <c r="P26" s="95"/>
      <c r="Q26" s="95"/>
      <c r="R26" s="98" t="s">
        <v>204</v>
      </c>
      <c r="S26" s="95"/>
      <c r="T26" s="95"/>
      <c r="U26" s="95">
        <v>15</v>
      </c>
      <c r="V26" s="95">
        <v>16</v>
      </c>
      <c r="W26" s="95">
        <v>17</v>
      </c>
      <c r="X26" s="95">
        <v>18</v>
      </c>
      <c r="Y26" s="95">
        <v>19</v>
      </c>
      <c r="Z26" s="95">
        <v>20</v>
      </c>
    </row>
    <row r="27" spans="2:26" ht="15.75" thickBot="1" x14ac:dyDescent="0.3">
      <c r="B27" s="165" t="s">
        <v>205</v>
      </c>
      <c r="C27" s="575" t="s">
        <v>206</v>
      </c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575"/>
      <c r="T27" s="575"/>
      <c r="U27" s="575"/>
      <c r="V27" s="575"/>
      <c r="W27" s="575"/>
      <c r="X27" s="575"/>
      <c r="Y27" s="575"/>
      <c r="Z27" s="575"/>
    </row>
    <row r="28" spans="2:26" ht="15.75" hidden="1" outlineLevel="1" thickBot="1" x14ac:dyDescent="0.3">
      <c r="B28" s="100" t="s">
        <v>207</v>
      </c>
      <c r="C28" s="576" t="s">
        <v>208</v>
      </c>
      <c r="D28" s="576"/>
      <c r="E28" s="576"/>
      <c r="F28" s="576"/>
      <c r="G28" s="576"/>
      <c r="H28" s="576"/>
      <c r="I28" s="576"/>
      <c r="J28" s="576"/>
      <c r="K28" s="576"/>
      <c r="L28" s="576"/>
      <c r="M28" s="576"/>
      <c r="N28" s="576"/>
      <c r="O28" s="576"/>
      <c r="P28" s="576"/>
      <c r="Q28" s="576"/>
      <c r="R28" s="576"/>
      <c r="S28" s="576"/>
      <c r="T28" s="576"/>
      <c r="U28" s="576"/>
      <c r="V28" s="576"/>
      <c r="W28" s="576"/>
      <c r="X28" s="576"/>
      <c r="Y28" s="576"/>
      <c r="Z28" s="576"/>
    </row>
    <row r="29" spans="2:26" ht="15.75" hidden="1" outlineLevel="1" thickBot="1" x14ac:dyDescent="0.3">
      <c r="B29" s="101" t="s">
        <v>209</v>
      </c>
      <c r="C29" s="574" t="s">
        <v>128</v>
      </c>
      <c r="D29" s="574"/>
      <c r="E29" s="574"/>
      <c r="F29" s="574"/>
      <c r="G29" s="574"/>
      <c r="H29" s="574"/>
      <c r="I29" s="574"/>
      <c r="J29" s="574"/>
      <c r="K29" s="574"/>
      <c r="L29" s="574"/>
      <c r="M29" s="574"/>
      <c r="N29" s="574"/>
      <c r="O29" s="574"/>
      <c r="P29" s="574"/>
      <c r="Q29" s="574"/>
      <c r="R29" s="574"/>
      <c r="S29" s="574"/>
      <c r="T29" s="574"/>
      <c r="U29" s="574"/>
      <c r="V29" s="574"/>
      <c r="W29" s="574"/>
      <c r="X29" s="574"/>
      <c r="Y29" s="574"/>
      <c r="Z29" s="574"/>
    </row>
    <row r="30" spans="2:26" ht="15.75" hidden="1" customHeight="1" outlineLevel="1" thickBot="1" x14ac:dyDescent="0.3">
      <c r="B30" s="102"/>
      <c r="C30" s="102"/>
      <c r="D30" s="102"/>
      <c r="E30" s="102"/>
      <c r="F30" s="95" t="s">
        <v>210</v>
      </c>
      <c r="G30" s="95" t="s">
        <v>210</v>
      </c>
      <c r="H30" s="95" t="s">
        <v>210</v>
      </c>
      <c r="I30" s="95" t="s">
        <v>210</v>
      </c>
      <c r="J30" s="95" t="s">
        <v>210</v>
      </c>
      <c r="K30" s="95" t="s">
        <v>210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</row>
    <row r="31" spans="2:26" ht="15.75" hidden="1" customHeight="1" outlineLevel="1" thickBot="1" x14ac:dyDescent="0.3">
      <c r="B31" s="574" t="s">
        <v>211</v>
      </c>
      <c r="C31" s="574"/>
      <c r="D31" s="574"/>
      <c r="E31" s="102"/>
      <c r="F31" s="95" t="s">
        <v>210</v>
      </c>
      <c r="G31" s="95" t="s">
        <v>210</v>
      </c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</row>
    <row r="32" spans="2:26" ht="15.75" hidden="1" outlineLevel="1" thickBot="1" x14ac:dyDescent="0.3">
      <c r="B32" s="101" t="s">
        <v>212</v>
      </c>
      <c r="C32" s="574" t="s">
        <v>145</v>
      </c>
      <c r="D32" s="574"/>
      <c r="E32" s="574"/>
      <c r="F32" s="574"/>
      <c r="G32" s="574"/>
      <c r="H32" s="574"/>
      <c r="I32" s="574"/>
      <c r="J32" s="574"/>
      <c r="K32" s="574"/>
      <c r="L32" s="574"/>
      <c r="M32" s="574"/>
      <c r="N32" s="574"/>
      <c r="O32" s="574"/>
      <c r="P32" s="574"/>
      <c r="Q32" s="574"/>
      <c r="R32" s="574"/>
      <c r="S32" s="574"/>
      <c r="T32" s="574"/>
      <c r="U32" s="574"/>
      <c r="V32" s="574"/>
      <c r="W32" s="574"/>
      <c r="X32" s="574"/>
      <c r="Y32" s="574"/>
      <c r="Z32" s="574"/>
    </row>
    <row r="33" spans="2:26" ht="15.75" hidden="1" customHeight="1" outlineLevel="1" thickBot="1" x14ac:dyDescent="0.3">
      <c r="B33" s="102"/>
      <c r="C33" s="102"/>
      <c r="D33" s="102"/>
      <c r="E33" s="102"/>
      <c r="F33" s="95" t="s">
        <v>210</v>
      </c>
      <c r="G33" s="95" t="s">
        <v>210</v>
      </c>
      <c r="H33" s="95" t="s">
        <v>210</v>
      </c>
      <c r="I33" s="95" t="s">
        <v>210</v>
      </c>
      <c r="J33" s="95" t="s">
        <v>210</v>
      </c>
      <c r="K33" s="95" t="s">
        <v>210</v>
      </c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</row>
    <row r="34" spans="2:26" ht="15.75" hidden="1" customHeight="1" outlineLevel="1" thickBot="1" x14ac:dyDescent="0.3">
      <c r="B34" s="574" t="s">
        <v>213</v>
      </c>
      <c r="C34" s="574"/>
      <c r="D34" s="574"/>
      <c r="E34" s="102"/>
      <c r="F34" s="95" t="s">
        <v>210</v>
      </c>
      <c r="G34" s="95" t="s">
        <v>210</v>
      </c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</row>
    <row r="35" spans="2:26" ht="15.75" hidden="1" outlineLevel="1" thickBot="1" x14ac:dyDescent="0.3">
      <c r="B35" s="101" t="s">
        <v>212</v>
      </c>
      <c r="C35" s="574" t="s">
        <v>214</v>
      </c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4"/>
      <c r="P35" s="574"/>
      <c r="Q35" s="574"/>
      <c r="R35" s="574"/>
      <c r="S35" s="574"/>
      <c r="T35" s="574"/>
      <c r="U35" s="574"/>
      <c r="V35" s="574"/>
      <c r="W35" s="574"/>
      <c r="X35" s="574"/>
      <c r="Y35" s="574"/>
      <c r="Z35" s="574"/>
    </row>
    <row r="36" spans="2:26" ht="15.75" hidden="1" customHeight="1" outlineLevel="1" thickBot="1" x14ac:dyDescent="0.3">
      <c r="B36" s="102"/>
      <c r="C36" s="102"/>
      <c r="D36" s="102"/>
      <c r="E36" s="102"/>
      <c r="F36" s="95" t="s">
        <v>210</v>
      </c>
      <c r="G36" s="95" t="s">
        <v>210</v>
      </c>
      <c r="H36" s="95" t="s">
        <v>210</v>
      </c>
      <c r="I36" s="95" t="s">
        <v>210</v>
      </c>
      <c r="J36" s="95" t="s">
        <v>210</v>
      </c>
      <c r="K36" s="95" t="s">
        <v>210</v>
      </c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</row>
    <row r="37" spans="2:26" ht="15.75" hidden="1" customHeight="1" outlineLevel="1" thickBot="1" x14ac:dyDescent="0.3">
      <c r="B37" s="574" t="s">
        <v>215</v>
      </c>
      <c r="C37" s="574"/>
      <c r="D37" s="574"/>
      <c r="E37" s="102"/>
      <c r="F37" s="95" t="s">
        <v>210</v>
      </c>
      <c r="G37" s="95" t="s">
        <v>210</v>
      </c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</row>
    <row r="38" spans="2:26" ht="15.75" hidden="1" customHeight="1" outlineLevel="1" thickBot="1" x14ac:dyDescent="0.3">
      <c r="B38" s="574" t="s">
        <v>216</v>
      </c>
      <c r="C38" s="574"/>
      <c r="D38" s="574"/>
      <c r="E38" s="102"/>
      <c r="F38" s="95" t="s">
        <v>210</v>
      </c>
      <c r="G38" s="95" t="s">
        <v>210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</row>
    <row r="39" spans="2:26" ht="15.75" hidden="1" outlineLevel="1" thickBot="1" x14ac:dyDescent="0.3">
      <c r="B39" s="100" t="s">
        <v>217</v>
      </c>
      <c r="C39" s="576" t="s">
        <v>218</v>
      </c>
      <c r="D39" s="576"/>
      <c r="E39" s="576"/>
      <c r="F39" s="576"/>
      <c r="G39" s="576"/>
      <c r="H39" s="576"/>
      <c r="I39" s="576"/>
      <c r="J39" s="576"/>
      <c r="K39" s="576"/>
      <c r="L39" s="576"/>
      <c r="M39" s="576"/>
      <c r="N39" s="576"/>
      <c r="O39" s="576"/>
      <c r="P39" s="576"/>
      <c r="Q39" s="576"/>
      <c r="R39" s="576"/>
      <c r="S39" s="576"/>
      <c r="T39" s="576"/>
      <c r="U39" s="576"/>
      <c r="V39" s="576"/>
      <c r="W39" s="576"/>
      <c r="X39" s="576"/>
      <c r="Y39" s="576"/>
      <c r="Z39" s="576"/>
    </row>
    <row r="40" spans="2:26" ht="15.75" hidden="1" outlineLevel="1" thickBot="1" x14ac:dyDescent="0.3">
      <c r="B40" s="101" t="s">
        <v>219</v>
      </c>
      <c r="C40" s="574" t="s">
        <v>128</v>
      </c>
      <c r="D40" s="574"/>
      <c r="E40" s="574"/>
      <c r="F40" s="574"/>
      <c r="G40" s="574"/>
      <c r="H40" s="574"/>
      <c r="I40" s="574"/>
      <c r="J40" s="574"/>
      <c r="K40" s="574"/>
      <c r="L40" s="574"/>
      <c r="M40" s="574"/>
      <c r="N40" s="574"/>
      <c r="O40" s="574"/>
      <c r="P40" s="574"/>
      <c r="Q40" s="574"/>
      <c r="R40" s="574"/>
      <c r="S40" s="574"/>
      <c r="T40" s="574"/>
      <c r="U40" s="574"/>
      <c r="V40" s="574"/>
      <c r="W40" s="574"/>
      <c r="X40" s="574"/>
      <c r="Y40" s="574"/>
      <c r="Z40" s="574"/>
    </row>
    <row r="41" spans="2:26" ht="15.75" hidden="1" customHeight="1" outlineLevel="1" thickBot="1" x14ac:dyDescent="0.3">
      <c r="B41" s="102"/>
      <c r="C41" s="102"/>
      <c r="D41" s="102"/>
      <c r="E41" s="102"/>
      <c r="F41" s="95" t="s">
        <v>210</v>
      </c>
      <c r="G41" s="95" t="s">
        <v>210</v>
      </c>
      <c r="H41" s="95" t="s">
        <v>210</v>
      </c>
      <c r="I41" s="95" t="s">
        <v>210</v>
      </c>
      <c r="J41" s="95" t="s">
        <v>210</v>
      </c>
      <c r="K41" s="95" t="s">
        <v>210</v>
      </c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</row>
    <row r="42" spans="2:26" ht="15.75" hidden="1" customHeight="1" outlineLevel="1" thickBot="1" x14ac:dyDescent="0.3">
      <c r="B42" s="574" t="s">
        <v>220</v>
      </c>
      <c r="C42" s="574"/>
      <c r="D42" s="574"/>
      <c r="E42" s="102"/>
      <c r="F42" s="95" t="s">
        <v>210</v>
      </c>
      <c r="G42" s="95" t="s">
        <v>210</v>
      </c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spans="2:26" ht="15.75" hidden="1" outlineLevel="1" thickBot="1" x14ac:dyDescent="0.3">
      <c r="B43" s="101" t="s">
        <v>221</v>
      </c>
      <c r="C43" s="574" t="s">
        <v>145</v>
      </c>
      <c r="D43" s="574"/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</row>
    <row r="44" spans="2:26" ht="15.75" hidden="1" customHeight="1" outlineLevel="1" thickBot="1" x14ac:dyDescent="0.3">
      <c r="B44" s="102"/>
      <c r="C44" s="102"/>
      <c r="D44" s="102"/>
      <c r="E44" s="102"/>
      <c r="F44" s="95" t="s">
        <v>210</v>
      </c>
      <c r="G44" s="95" t="s">
        <v>210</v>
      </c>
      <c r="H44" s="95" t="s">
        <v>210</v>
      </c>
      <c r="I44" s="95" t="s">
        <v>210</v>
      </c>
      <c r="J44" s="95" t="s">
        <v>210</v>
      </c>
      <c r="K44" s="95" t="s">
        <v>210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</row>
    <row r="45" spans="2:26" ht="15.75" hidden="1" customHeight="1" outlineLevel="1" thickBot="1" x14ac:dyDescent="0.3">
      <c r="B45" s="574" t="s">
        <v>222</v>
      </c>
      <c r="C45" s="574"/>
      <c r="D45" s="574"/>
      <c r="E45" s="102"/>
      <c r="F45" s="95" t="s">
        <v>210</v>
      </c>
      <c r="G45" s="95" t="s">
        <v>210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</row>
    <row r="46" spans="2:26" ht="15.75" hidden="1" outlineLevel="1" thickBot="1" x14ac:dyDescent="0.3">
      <c r="B46" s="101" t="s">
        <v>223</v>
      </c>
      <c r="C46" s="574" t="s">
        <v>152</v>
      </c>
      <c r="D46" s="574"/>
      <c r="E46" s="574"/>
      <c r="F46" s="574"/>
      <c r="G46" s="574"/>
      <c r="H46" s="574"/>
      <c r="I46" s="574"/>
      <c r="J46" s="574"/>
      <c r="K46" s="574"/>
      <c r="L46" s="574"/>
      <c r="M46" s="574"/>
      <c r="N46" s="574"/>
      <c r="O46" s="574"/>
      <c r="P46" s="574"/>
      <c r="Q46" s="574"/>
      <c r="R46" s="574"/>
      <c r="S46" s="574"/>
      <c r="T46" s="574"/>
      <c r="U46" s="574"/>
      <c r="V46" s="574"/>
      <c r="W46" s="574"/>
      <c r="X46" s="574"/>
      <c r="Y46" s="574"/>
      <c r="Z46" s="574"/>
    </row>
    <row r="47" spans="2:26" ht="15.75" hidden="1" customHeight="1" outlineLevel="1" thickBot="1" x14ac:dyDescent="0.3">
      <c r="B47" s="102"/>
      <c r="C47" s="102"/>
      <c r="D47" s="102"/>
      <c r="E47" s="102"/>
      <c r="F47" s="95" t="s">
        <v>210</v>
      </c>
      <c r="G47" s="95" t="s">
        <v>210</v>
      </c>
      <c r="H47" s="95" t="s">
        <v>210</v>
      </c>
      <c r="I47" s="95" t="s">
        <v>210</v>
      </c>
      <c r="J47" s="95" t="s">
        <v>210</v>
      </c>
      <c r="K47" s="95" t="s">
        <v>210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2:26" ht="15.75" hidden="1" customHeight="1" outlineLevel="1" thickBot="1" x14ac:dyDescent="0.3">
      <c r="B48" s="574" t="s">
        <v>224</v>
      </c>
      <c r="C48" s="574"/>
      <c r="D48" s="574"/>
      <c r="E48" s="102"/>
      <c r="F48" s="95" t="s">
        <v>210</v>
      </c>
      <c r="G48" s="95" t="s">
        <v>210</v>
      </c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</row>
    <row r="49" spans="2:26" ht="15.75" hidden="1" outlineLevel="1" thickBot="1" x14ac:dyDescent="0.3">
      <c r="B49" s="101" t="s">
        <v>225</v>
      </c>
      <c r="C49" s="574" t="s">
        <v>226</v>
      </c>
      <c r="D49" s="574"/>
      <c r="E49" s="574"/>
      <c r="F49" s="574"/>
      <c r="G49" s="574"/>
      <c r="H49" s="574"/>
      <c r="I49" s="574"/>
      <c r="J49" s="574"/>
      <c r="K49" s="574"/>
      <c r="L49" s="574"/>
      <c r="M49" s="574"/>
      <c r="N49" s="574"/>
      <c r="O49" s="574"/>
      <c r="P49" s="574"/>
      <c r="Q49" s="574"/>
      <c r="R49" s="574"/>
      <c r="S49" s="574"/>
      <c r="T49" s="574"/>
      <c r="U49" s="574"/>
      <c r="V49" s="574"/>
      <c r="W49" s="574"/>
      <c r="X49" s="574"/>
      <c r="Y49" s="574"/>
      <c r="Z49" s="574"/>
    </row>
    <row r="50" spans="2:26" ht="15.75" hidden="1" customHeight="1" outlineLevel="1" thickBot="1" x14ac:dyDescent="0.3">
      <c r="B50" s="102"/>
      <c r="C50" s="102"/>
      <c r="D50" s="102"/>
      <c r="E50" s="102"/>
      <c r="F50" s="95" t="s">
        <v>210</v>
      </c>
      <c r="G50" s="95" t="s">
        <v>210</v>
      </c>
      <c r="H50" s="95" t="s">
        <v>210</v>
      </c>
      <c r="I50" s="95" t="s">
        <v>210</v>
      </c>
      <c r="J50" s="95" t="s">
        <v>210</v>
      </c>
      <c r="K50" s="95" t="s">
        <v>210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</row>
    <row r="51" spans="2:26" ht="15.75" hidden="1" customHeight="1" outlineLevel="1" thickBot="1" x14ac:dyDescent="0.3">
      <c r="B51" s="574" t="s">
        <v>227</v>
      </c>
      <c r="C51" s="574"/>
      <c r="D51" s="574"/>
      <c r="E51" s="102"/>
      <c r="F51" s="95" t="s">
        <v>210</v>
      </c>
      <c r="G51" s="95" t="s">
        <v>210</v>
      </c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</row>
    <row r="52" spans="2:26" ht="15.75" hidden="1" outlineLevel="1" thickBot="1" x14ac:dyDescent="0.3">
      <c r="B52" s="101" t="s">
        <v>228</v>
      </c>
      <c r="C52" s="574" t="s">
        <v>214</v>
      </c>
      <c r="D52" s="574"/>
      <c r="E52" s="574"/>
      <c r="F52" s="574"/>
      <c r="G52" s="574"/>
      <c r="H52" s="574"/>
      <c r="I52" s="574"/>
      <c r="J52" s="574"/>
      <c r="K52" s="574"/>
      <c r="L52" s="574"/>
      <c r="M52" s="574"/>
      <c r="N52" s="574"/>
      <c r="O52" s="574"/>
      <c r="P52" s="574"/>
      <c r="Q52" s="574"/>
      <c r="R52" s="574"/>
      <c r="S52" s="574"/>
      <c r="T52" s="574"/>
      <c r="U52" s="574"/>
      <c r="V52" s="574"/>
      <c r="W52" s="574"/>
      <c r="X52" s="574"/>
      <c r="Y52" s="574"/>
      <c r="Z52" s="574"/>
    </row>
    <row r="53" spans="2:26" ht="15.75" hidden="1" customHeight="1" outlineLevel="1" thickBot="1" x14ac:dyDescent="0.3">
      <c r="B53" s="102"/>
      <c r="C53" s="102"/>
      <c r="D53" s="102"/>
      <c r="E53" s="102"/>
      <c r="F53" s="95" t="s">
        <v>210</v>
      </c>
      <c r="G53" s="95" t="s">
        <v>210</v>
      </c>
      <c r="H53" s="95" t="s">
        <v>210</v>
      </c>
      <c r="I53" s="95" t="s">
        <v>210</v>
      </c>
      <c r="J53" s="95" t="s">
        <v>210</v>
      </c>
      <c r="K53" s="95" t="s">
        <v>210</v>
      </c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spans="2:26" ht="15.75" hidden="1" customHeight="1" outlineLevel="1" thickBot="1" x14ac:dyDescent="0.3">
      <c r="B54" s="574" t="s">
        <v>229</v>
      </c>
      <c r="C54" s="574"/>
      <c r="D54" s="574"/>
      <c r="E54" s="102"/>
      <c r="F54" s="95" t="s">
        <v>210</v>
      </c>
      <c r="G54" s="95" t="s">
        <v>210</v>
      </c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</row>
    <row r="55" spans="2:26" ht="15.75" hidden="1" customHeight="1" outlineLevel="1" thickBot="1" x14ac:dyDescent="0.3">
      <c r="B55" s="574" t="s">
        <v>230</v>
      </c>
      <c r="C55" s="574"/>
      <c r="D55" s="574"/>
      <c r="E55" s="102"/>
      <c r="F55" s="95" t="s">
        <v>210</v>
      </c>
      <c r="G55" s="95" t="s">
        <v>210</v>
      </c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</row>
    <row r="56" spans="2:26" ht="15.75" hidden="1" customHeight="1" outlineLevel="1" thickBot="1" x14ac:dyDescent="0.3">
      <c r="B56" s="575" t="s">
        <v>231</v>
      </c>
      <c r="C56" s="575"/>
      <c r="D56" s="575"/>
      <c r="E56" s="102"/>
      <c r="F56" s="95" t="s">
        <v>210</v>
      </c>
      <c r="G56" s="95" t="s">
        <v>210</v>
      </c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</row>
    <row r="57" spans="2:26" ht="15.75" collapsed="1" thickBot="1" x14ac:dyDescent="0.3">
      <c r="B57" s="99" t="s">
        <v>232</v>
      </c>
      <c r="C57" s="575" t="s">
        <v>125</v>
      </c>
      <c r="D57" s="575"/>
      <c r="E57" s="575"/>
      <c r="F57" s="575"/>
      <c r="G57" s="575"/>
      <c r="H57" s="575"/>
      <c r="I57" s="575"/>
      <c r="J57" s="575"/>
      <c r="K57" s="575"/>
      <c r="L57" s="575"/>
      <c r="M57" s="575"/>
      <c r="N57" s="575"/>
      <c r="O57" s="575"/>
      <c r="P57" s="575"/>
      <c r="Q57" s="575"/>
      <c r="R57" s="575"/>
      <c r="S57" s="575"/>
      <c r="T57" s="575"/>
      <c r="U57" s="575"/>
      <c r="V57" s="575"/>
      <c r="W57" s="575"/>
      <c r="X57" s="575"/>
      <c r="Y57" s="575"/>
      <c r="Z57" s="575"/>
    </row>
    <row r="58" spans="2:26" ht="15.75" outlineLevel="1" thickBot="1" x14ac:dyDescent="0.3">
      <c r="B58" s="166" t="s">
        <v>233</v>
      </c>
      <c r="C58" s="576" t="s">
        <v>208</v>
      </c>
      <c r="D58" s="576"/>
      <c r="E58" s="576"/>
      <c r="F58" s="576"/>
      <c r="G58" s="576"/>
      <c r="H58" s="576"/>
      <c r="I58" s="576"/>
      <c r="J58" s="576"/>
      <c r="K58" s="576"/>
      <c r="L58" s="576"/>
      <c r="M58" s="576"/>
      <c r="N58" s="576"/>
      <c r="O58" s="576"/>
      <c r="P58" s="576"/>
      <c r="Q58" s="576"/>
      <c r="R58" s="576"/>
      <c r="S58" s="576"/>
      <c r="T58" s="576"/>
      <c r="U58" s="576"/>
      <c r="V58" s="576"/>
      <c r="W58" s="576"/>
      <c r="X58" s="576"/>
      <c r="Y58" s="576"/>
      <c r="Z58" s="576"/>
    </row>
    <row r="59" spans="2:26" ht="15.75" outlineLevel="1" thickBot="1" x14ac:dyDescent="0.3">
      <c r="B59" s="167" t="s">
        <v>234</v>
      </c>
      <c r="C59" s="574" t="s">
        <v>128</v>
      </c>
      <c r="D59" s="574"/>
      <c r="E59" s="574"/>
      <c r="F59" s="574"/>
      <c r="G59" s="574"/>
      <c r="H59" s="574"/>
      <c r="I59" s="574"/>
      <c r="J59" s="574"/>
      <c r="K59" s="574"/>
      <c r="L59" s="574"/>
      <c r="M59" s="574"/>
      <c r="N59" s="574"/>
      <c r="O59" s="574"/>
      <c r="P59" s="574"/>
      <c r="Q59" s="574"/>
      <c r="R59" s="574"/>
      <c r="S59" s="574"/>
      <c r="T59" s="574"/>
      <c r="U59" s="574"/>
      <c r="V59" s="574"/>
      <c r="W59" s="574"/>
      <c r="X59" s="574"/>
      <c r="Y59" s="574"/>
      <c r="Z59" s="574"/>
    </row>
    <row r="60" spans="2:26" ht="15.75" outlineLevel="1" thickBot="1" x14ac:dyDescent="0.3">
      <c r="B60" s="102"/>
      <c r="C60" s="102"/>
      <c r="D60" s="102"/>
      <c r="E60" s="102"/>
      <c r="F60" s="95" t="s">
        <v>210</v>
      </c>
      <c r="G60" s="95" t="s">
        <v>210</v>
      </c>
      <c r="H60" s="95" t="s">
        <v>210</v>
      </c>
      <c r="I60" s="95" t="s">
        <v>210</v>
      </c>
      <c r="J60" s="95" t="s">
        <v>210</v>
      </c>
      <c r="K60" s="95" t="s">
        <v>210</v>
      </c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</row>
    <row r="61" spans="2:26" ht="45.75" outlineLevel="1" thickBot="1" x14ac:dyDescent="0.3">
      <c r="B61" s="162" t="s">
        <v>342</v>
      </c>
      <c r="C61" s="156" t="s">
        <v>130</v>
      </c>
      <c r="D61" s="102"/>
      <c r="E61" s="139">
        <v>47421</v>
      </c>
      <c r="F61" s="140">
        <f>'Дод 6.1.1'!D40</f>
        <v>33640.802859345677</v>
      </c>
      <c r="G61" s="140">
        <f>'Дод 6.1.1'!E40</f>
        <v>13780.604244969918</v>
      </c>
      <c r="H61" s="140"/>
      <c r="I61" s="140"/>
      <c r="J61" s="140"/>
      <c r="K61" s="140"/>
      <c r="L61" s="139"/>
      <c r="M61" s="139"/>
      <c r="N61" s="139">
        <f>O61+P61</f>
        <v>16611.847999999998</v>
      </c>
      <c r="O61" s="139">
        <v>5906.616</v>
      </c>
      <c r="P61" s="139">
        <v>10705.232</v>
      </c>
      <c r="Q61" s="139">
        <v>5200.6139999999996</v>
      </c>
      <c r="R61" s="139"/>
      <c r="S61" s="139">
        <v>10491.998</v>
      </c>
      <c r="T61" s="139">
        <v>9204.5110000000004</v>
      </c>
      <c r="U61" s="139">
        <v>5912.4830000000002</v>
      </c>
      <c r="V61" s="139">
        <f>(X61/Z61)*12</f>
        <v>18.720748829953198</v>
      </c>
      <c r="W61" s="139" t="s">
        <v>531</v>
      </c>
      <c r="X61" s="139">
        <v>11532</v>
      </c>
      <c r="Y61" s="515" t="s">
        <v>210</v>
      </c>
      <c r="Z61" s="139">
        <f>X61*641/1000</f>
        <v>7392.0119999999997</v>
      </c>
    </row>
    <row r="62" spans="2:26" ht="30.75" outlineLevel="1" thickBot="1" x14ac:dyDescent="0.3">
      <c r="B62" s="162" t="s">
        <v>343</v>
      </c>
      <c r="C62" s="157" t="s">
        <v>132</v>
      </c>
      <c r="D62" s="102"/>
      <c r="E62" s="139">
        <v>5820</v>
      </c>
      <c r="F62" s="140">
        <f>'Дод 6.1.1'!D41</f>
        <v>3567.5446982321405</v>
      </c>
      <c r="G62" s="140">
        <f>'Дод 6.1.1'!E41</f>
        <v>2252.3441952246517</v>
      </c>
      <c r="H62" s="140"/>
      <c r="I62" s="140"/>
      <c r="J62" s="140"/>
      <c r="K62" s="140"/>
      <c r="L62" s="139"/>
      <c r="M62" s="139"/>
      <c r="N62" s="139">
        <f>P62</f>
        <v>2190.56</v>
      </c>
      <c r="O62" s="139"/>
      <c r="P62" s="139">
        <v>2190.56</v>
      </c>
      <c r="Q62" s="139">
        <v>2795.8</v>
      </c>
      <c r="R62" s="139"/>
      <c r="S62" s="139">
        <v>833.53599999999994</v>
      </c>
      <c r="T62" s="139"/>
      <c r="U62" s="139"/>
      <c r="V62" s="139">
        <f t="shared" ref="V62:V66" si="0">(X62/Z62)*12</f>
        <v>18.720748829953198</v>
      </c>
      <c r="W62" s="139" t="s">
        <v>532</v>
      </c>
      <c r="X62" s="139">
        <v>10308</v>
      </c>
      <c r="Y62" s="515" t="s">
        <v>210</v>
      </c>
      <c r="Z62" s="139">
        <f>X62*641/1000</f>
        <v>6607.4279999999999</v>
      </c>
    </row>
    <row r="63" spans="2:26" ht="30.75" outlineLevel="1" thickBot="1" x14ac:dyDescent="0.3">
      <c r="B63" s="162" t="s">
        <v>344</v>
      </c>
      <c r="C63" s="158" t="s">
        <v>134</v>
      </c>
      <c r="D63" s="102"/>
      <c r="E63" s="139">
        <v>7813</v>
      </c>
      <c r="F63" s="140">
        <f>'Дод 6.1.1'!D42</f>
        <v>4651.4625538923847</v>
      </c>
      <c r="G63" s="140">
        <f>'Дод 6.1.1'!E42</f>
        <v>3161.1028254172584</v>
      </c>
      <c r="H63" s="140"/>
      <c r="I63" s="140"/>
      <c r="J63" s="140"/>
      <c r="K63" s="140"/>
      <c r="L63" s="139"/>
      <c r="M63" s="139"/>
      <c r="N63" s="139">
        <f>P63</f>
        <v>1804.896</v>
      </c>
      <c r="O63" s="139"/>
      <c r="P63" s="139">
        <v>1804.896</v>
      </c>
      <c r="Q63" s="139">
        <v>6007.6790000000001</v>
      </c>
      <c r="R63" s="139"/>
      <c r="S63" s="139"/>
      <c r="T63" s="139"/>
      <c r="U63" s="139"/>
      <c r="V63" s="515" t="s">
        <v>210</v>
      </c>
      <c r="W63" s="139" t="s">
        <v>536</v>
      </c>
      <c r="X63" s="515" t="s">
        <v>210</v>
      </c>
      <c r="Y63" s="515" t="s">
        <v>210</v>
      </c>
      <c r="Z63" s="515" t="s">
        <v>210</v>
      </c>
    </row>
    <row r="64" spans="2:26" ht="30.75" outlineLevel="1" thickBot="1" x14ac:dyDescent="0.3">
      <c r="B64" s="162" t="s">
        <v>345</v>
      </c>
      <c r="C64" s="158" t="s">
        <v>136</v>
      </c>
      <c r="D64" s="102"/>
      <c r="E64" s="139">
        <v>1737</v>
      </c>
      <c r="F64" s="140">
        <f>'Дод 6.1.1'!D43</f>
        <v>1471.477849621941</v>
      </c>
      <c r="G64" s="140">
        <f>'Дод 6.1.1'!E43</f>
        <v>265.52422251778512</v>
      </c>
      <c r="H64" s="140"/>
      <c r="I64" s="140"/>
      <c r="J64" s="140"/>
      <c r="K64" s="140"/>
      <c r="L64" s="139"/>
      <c r="M64" s="139"/>
      <c r="N64" s="139"/>
      <c r="O64" s="139"/>
      <c r="P64" s="139"/>
      <c r="Q64" s="139"/>
      <c r="R64" s="139"/>
      <c r="S64" s="139">
        <v>1737.0039999999999</v>
      </c>
      <c r="T64" s="139"/>
      <c r="U64" s="139"/>
      <c r="V64" s="139">
        <f t="shared" si="0"/>
        <v>18.720748829953198</v>
      </c>
      <c r="W64" s="139" t="s">
        <v>535</v>
      </c>
      <c r="X64" s="139">
        <v>984</v>
      </c>
      <c r="Y64" s="515" t="s">
        <v>210</v>
      </c>
      <c r="Z64" s="139">
        <f>X64*641/1000</f>
        <v>630.74400000000003</v>
      </c>
    </row>
    <row r="65" spans="2:28" ht="30.75" outlineLevel="1" thickBot="1" x14ac:dyDescent="0.3">
      <c r="B65" s="162" t="s">
        <v>346</v>
      </c>
      <c r="C65" s="158" t="s">
        <v>138</v>
      </c>
      <c r="D65" s="102"/>
      <c r="E65" s="139">
        <v>1928</v>
      </c>
      <c r="F65" s="140">
        <f>'Дод 6.1.1'!D44</f>
        <v>1514.9940930054188</v>
      </c>
      <c r="G65" s="140">
        <f>'Дод 6.1.1'!E44</f>
        <v>412.53551786899283</v>
      </c>
      <c r="H65" s="140"/>
      <c r="I65" s="140"/>
      <c r="J65" s="140"/>
      <c r="K65" s="140"/>
      <c r="L65" s="139"/>
      <c r="M65" s="139"/>
      <c r="N65" s="139"/>
      <c r="O65" s="139"/>
      <c r="P65" s="139"/>
      <c r="Q65" s="139"/>
      <c r="R65" s="139"/>
      <c r="S65" s="139"/>
      <c r="T65" s="139"/>
      <c r="U65" s="139">
        <v>1927.53</v>
      </c>
      <c r="V65" s="139">
        <f t="shared" si="0"/>
        <v>18.720748829953198</v>
      </c>
      <c r="W65" s="139" t="s">
        <v>537</v>
      </c>
      <c r="X65" s="139">
        <v>984</v>
      </c>
      <c r="Y65" s="515" t="s">
        <v>210</v>
      </c>
      <c r="Z65" s="139">
        <f>X65*641/1000</f>
        <v>630.74400000000003</v>
      </c>
    </row>
    <row r="66" spans="2:28" ht="30.75" outlineLevel="1" thickBot="1" x14ac:dyDescent="0.3">
      <c r="B66" s="162" t="s">
        <v>347</v>
      </c>
      <c r="C66" s="158" t="s">
        <v>140</v>
      </c>
      <c r="D66" s="102"/>
      <c r="E66" s="139">
        <v>1024</v>
      </c>
      <c r="F66" s="140">
        <f>'Дод 6.1.1'!D45</f>
        <v>924.91623611633236</v>
      </c>
      <c r="G66" s="140">
        <f>'Дод 6.1.1'!E45</f>
        <v>98.929014244166865</v>
      </c>
      <c r="H66" s="140"/>
      <c r="I66" s="140"/>
      <c r="J66" s="140"/>
      <c r="K66" s="140"/>
      <c r="L66" s="139"/>
      <c r="M66" s="139"/>
      <c r="N66" s="139"/>
      <c r="O66" s="139"/>
      <c r="P66" s="139"/>
      <c r="Q66" s="139"/>
      <c r="R66" s="139"/>
      <c r="S66" s="139"/>
      <c r="T66" s="139">
        <v>1023.846</v>
      </c>
      <c r="U66" s="139"/>
      <c r="V66" s="139">
        <f t="shared" si="0"/>
        <v>18.720748829953198</v>
      </c>
      <c r="W66" s="139" t="s">
        <v>538</v>
      </c>
      <c r="X66" s="139">
        <v>1283</v>
      </c>
      <c r="Y66" s="515" t="s">
        <v>210</v>
      </c>
      <c r="Z66" s="139">
        <f>X66*641/1000</f>
        <v>822.40300000000002</v>
      </c>
    </row>
    <row r="67" spans="2:28" ht="30.75" outlineLevel="1" thickBot="1" x14ac:dyDescent="0.3">
      <c r="B67" s="162" t="s">
        <v>348</v>
      </c>
      <c r="C67" s="158" t="s">
        <v>142</v>
      </c>
      <c r="D67" s="102"/>
      <c r="E67" s="139">
        <v>253</v>
      </c>
      <c r="F67" s="140">
        <f>'Дод 6.1.1'!D46</f>
        <v>154.74920423054715</v>
      </c>
      <c r="G67" s="140">
        <f>'Дод 6.1.1'!E46</f>
        <v>98.577485312777569</v>
      </c>
      <c r="H67" s="140"/>
      <c r="I67" s="140"/>
      <c r="J67" s="140"/>
      <c r="K67" s="140"/>
      <c r="L67" s="139"/>
      <c r="M67" s="139"/>
      <c r="N67" s="139">
        <f>P67</f>
        <v>20.574000000000002</v>
      </c>
      <c r="O67" s="139"/>
      <c r="P67" s="139">
        <v>20.574000000000002</v>
      </c>
      <c r="Q67" s="139">
        <v>232.75299999999999</v>
      </c>
      <c r="R67" s="139"/>
      <c r="S67" s="139"/>
      <c r="T67" s="139"/>
      <c r="U67" s="139"/>
      <c r="V67" s="515" t="s">
        <v>210</v>
      </c>
      <c r="W67" s="139" t="s">
        <v>539</v>
      </c>
      <c r="X67" s="515" t="s">
        <v>210</v>
      </c>
      <c r="Y67" s="515" t="s">
        <v>210</v>
      </c>
      <c r="Z67" s="515" t="s">
        <v>210</v>
      </c>
    </row>
    <row r="68" spans="2:28" ht="15.75" customHeight="1" outlineLevel="1" thickBot="1" x14ac:dyDescent="0.3">
      <c r="B68" s="577" t="s">
        <v>235</v>
      </c>
      <c r="C68" s="578"/>
      <c r="D68" s="579"/>
      <c r="E68" s="149">
        <v>65996</v>
      </c>
      <c r="F68" s="150">
        <f>SUM(F61:F67)</f>
        <v>45925.947494444445</v>
      </c>
      <c r="G68" s="150">
        <f>SUM(G61:G67)</f>
        <v>20069.617505555554</v>
      </c>
      <c r="H68" s="149"/>
      <c r="I68" s="149"/>
      <c r="J68" s="149"/>
      <c r="K68" s="149"/>
      <c r="L68" s="149"/>
      <c r="M68" s="149"/>
      <c r="N68" s="149">
        <f>SUM(N61:N67)</f>
        <v>20627.878000000001</v>
      </c>
      <c r="O68" s="149">
        <v>5906.616</v>
      </c>
      <c r="P68" s="149">
        <v>14721.262000000001</v>
      </c>
      <c r="Q68" s="149">
        <v>14236.846000000001</v>
      </c>
      <c r="R68" s="149">
        <v>0</v>
      </c>
      <c r="S68" s="149">
        <v>13062.538</v>
      </c>
      <c r="T68" s="149">
        <v>10228.357</v>
      </c>
      <c r="U68" s="149">
        <v>7840.0129999999999</v>
      </c>
      <c r="V68" s="149"/>
      <c r="W68" s="149"/>
      <c r="X68" s="151"/>
      <c r="Y68" s="151"/>
      <c r="Z68" s="151"/>
    </row>
    <row r="69" spans="2:28" ht="15.75" outlineLevel="1" thickBot="1" x14ac:dyDescent="0.3">
      <c r="B69" s="167" t="s">
        <v>236</v>
      </c>
      <c r="C69" s="574" t="s">
        <v>145</v>
      </c>
      <c r="D69" s="574"/>
      <c r="E69" s="574"/>
      <c r="F69" s="574"/>
      <c r="G69" s="574"/>
      <c r="H69" s="574"/>
      <c r="I69" s="574"/>
      <c r="J69" s="574"/>
      <c r="K69" s="574"/>
      <c r="L69" s="574"/>
      <c r="M69" s="574"/>
      <c r="N69" s="574"/>
      <c r="O69" s="574"/>
      <c r="P69" s="574"/>
      <c r="Q69" s="574"/>
      <c r="R69" s="574"/>
      <c r="S69" s="574"/>
      <c r="T69" s="574"/>
      <c r="U69" s="574"/>
      <c r="V69" s="574"/>
      <c r="W69" s="574"/>
      <c r="X69" s="574"/>
      <c r="Y69" s="574"/>
      <c r="Z69" s="574"/>
    </row>
    <row r="70" spans="2:28" ht="16.5" outlineLevel="1" thickBot="1" x14ac:dyDescent="0.3">
      <c r="B70" s="163" t="s">
        <v>349</v>
      </c>
      <c r="C70" s="160" t="s">
        <v>147</v>
      </c>
      <c r="D70" s="59"/>
      <c r="E70" s="143">
        <v>4843</v>
      </c>
      <c r="F70" s="144">
        <f>'Дод 6.1.1'!D99</f>
        <v>0</v>
      </c>
      <c r="G70" s="144">
        <f>'Дод 6.1.1'!E99</f>
        <v>4843</v>
      </c>
      <c r="H70" s="145"/>
      <c r="I70" s="145"/>
      <c r="J70" s="145"/>
      <c r="K70" s="145"/>
      <c r="L70" s="145"/>
      <c r="M70" s="145"/>
      <c r="N70" s="145">
        <f>P70</f>
        <v>4843.3140000000003</v>
      </c>
      <c r="O70" s="145"/>
      <c r="P70" s="145">
        <v>4843.3140000000003</v>
      </c>
      <c r="Q70" s="141"/>
      <c r="R70" s="141"/>
      <c r="S70" s="141"/>
      <c r="T70" s="141"/>
      <c r="U70" s="141"/>
      <c r="V70" s="515" t="s">
        <v>210</v>
      </c>
      <c r="W70" s="164" t="s">
        <v>533</v>
      </c>
      <c r="X70" s="515" t="s">
        <v>210</v>
      </c>
      <c r="Y70" s="515" t="s">
        <v>210</v>
      </c>
      <c r="Z70" s="515" t="s">
        <v>210</v>
      </c>
    </row>
    <row r="71" spans="2:28" ht="16.5" outlineLevel="1" thickBot="1" x14ac:dyDescent="0.3">
      <c r="B71" s="163" t="s">
        <v>350</v>
      </c>
      <c r="C71" s="161" t="s">
        <v>149</v>
      </c>
      <c r="D71" s="34"/>
      <c r="E71" s="143">
        <v>3213</v>
      </c>
      <c r="F71" s="144">
        <f>'Дод 6.1.1'!D100</f>
        <v>0</v>
      </c>
      <c r="G71" s="144">
        <f>'Дод 6.1.1'!E100</f>
        <v>3213</v>
      </c>
      <c r="H71" s="145"/>
      <c r="I71" s="145"/>
      <c r="J71" s="145"/>
      <c r="K71" s="145"/>
      <c r="L71" s="145"/>
      <c r="M71" s="145"/>
      <c r="N71" s="145">
        <f>P71</f>
        <v>3212.8429999999998</v>
      </c>
      <c r="O71" s="145"/>
      <c r="P71" s="145">
        <v>3212.8429999999998</v>
      </c>
      <c r="Q71" s="141"/>
      <c r="R71" s="141"/>
      <c r="S71" s="141"/>
      <c r="T71" s="141"/>
      <c r="U71" s="141"/>
      <c r="V71" s="515" t="s">
        <v>210</v>
      </c>
      <c r="W71" s="164" t="s">
        <v>534</v>
      </c>
      <c r="X71" s="515" t="s">
        <v>210</v>
      </c>
      <c r="Y71" s="515" t="s">
        <v>210</v>
      </c>
      <c r="Z71" s="515" t="s">
        <v>210</v>
      </c>
    </row>
    <row r="72" spans="2:28" ht="16.5" outlineLevel="1" thickBot="1" x14ac:dyDescent="0.3">
      <c r="B72" s="541" t="s">
        <v>150</v>
      </c>
      <c r="C72" s="542"/>
      <c r="D72" s="548"/>
      <c r="E72" s="146">
        <v>8056</v>
      </c>
      <c r="F72" s="144">
        <f>F70+F71</f>
        <v>0</v>
      </c>
      <c r="G72" s="143">
        <f>G70+G71</f>
        <v>8056</v>
      </c>
      <c r="H72" s="153"/>
      <c r="I72" s="153"/>
      <c r="J72" s="153"/>
      <c r="K72" s="153"/>
      <c r="L72" s="153"/>
      <c r="M72" s="153"/>
      <c r="N72" s="153">
        <f>SUM(N70:N71)</f>
        <v>8056.1570000000002</v>
      </c>
      <c r="O72" s="153"/>
      <c r="P72" s="153">
        <v>8056.1570000000002</v>
      </c>
      <c r="Q72" s="154"/>
      <c r="R72" s="154"/>
      <c r="S72" s="154"/>
      <c r="T72" s="154"/>
      <c r="U72" s="154"/>
      <c r="V72" s="515"/>
      <c r="W72" s="99"/>
      <c r="X72" s="515"/>
      <c r="Y72" s="515"/>
      <c r="Z72" s="515"/>
      <c r="AA72" s="152"/>
      <c r="AB72" s="152"/>
    </row>
    <row r="73" spans="2:28" ht="15.75" outlineLevel="1" thickBot="1" x14ac:dyDescent="0.3">
      <c r="B73" s="102"/>
      <c r="C73" s="102"/>
      <c r="D73" s="102"/>
      <c r="E73" s="142"/>
      <c r="F73" s="141" t="s">
        <v>210</v>
      </c>
      <c r="G73" s="141" t="s">
        <v>210</v>
      </c>
      <c r="H73" s="141" t="s">
        <v>210</v>
      </c>
      <c r="I73" s="141" t="s">
        <v>210</v>
      </c>
      <c r="J73" s="141" t="s">
        <v>210</v>
      </c>
      <c r="K73" s="141" t="s">
        <v>210</v>
      </c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02"/>
      <c r="X73" s="102"/>
      <c r="Y73" s="102"/>
      <c r="Z73" s="102"/>
    </row>
    <row r="74" spans="2:28" ht="15.75" outlineLevel="1" thickBot="1" x14ac:dyDescent="0.3">
      <c r="B74" s="574" t="s">
        <v>237</v>
      </c>
      <c r="C74" s="574"/>
      <c r="D74" s="574"/>
      <c r="E74" s="142"/>
      <c r="F74" s="141" t="s">
        <v>210</v>
      </c>
      <c r="G74" s="141" t="s">
        <v>210</v>
      </c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02"/>
      <c r="X74" s="102"/>
      <c r="Y74" s="102"/>
      <c r="Z74" s="102"/>
    </row>
    <row r="75" spans="2:28" ht="15.75" outlineLevel="1" thickBot="1" x14ac:dyDescent="0.3">
      <c r="B75" s="101" t="s">
        <v>238</v>
      </c>
      <c r="C75" s="574" t="s">
        <v>214</v>
      </c>
      <c r="D75" s="574"/>
      <c r="E75" s="574"/>
      <c r="F75" s="574"/>
      <c r="G75" s="574"/>
      <c r="H75" s="574"/>
      <c r="I75" s="574"/>
      <c r="J75" s="574"/>
      <c r="K75" s="574"/>
      <c r="L75" s="574"/>
      <c r="M75" s="574"/>
      <c r="N75" s="574"/>
      <c r="O75" s="574"/>
      <c r="P75" s="574"/>
      <c r="Q75" s="574"/>
      <c r="R75" s="574"/>
      <c r="S75" s="574"/>
      <c r="T75" s="574"/>
      <c r="U75" s="574"/>
      <c r="V75" s="574"/>
      <c r="W75" s="574"/>
      <c r="X75" s="574"/>
      <c r="Y75" s="574"/>
      <c r="Z75" s="574"/>
    </row>
    <row r="76" spans="2:28" ht="15.75" outlineLevel="1" thickBot="1" x14ac:dyDescent="0.3">
      <c r="B76" s="102"/>
      <c r="C76" s="102"/>
      <c r="D76" s="102"/>
      <c r="E76" s="102"/>
      <c r="F76" s="95" t="s">
        <v>210</v>
      </c>
      <c r="G76" s="95" t="s">
        <v>210</v>
      </c>
      <c r="H76" s="95" t="s">
        <v>210</v>
      </c>
      <c r="I76" s="95" t="s">
        <v>210</v>
      </c>
      <c r="J76" s="95" t="s">
        <v>210</v>
      </c>
      <c r="K76" s="95" t="s">
        <v>210</v>
      </c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</row>
    <row r="77" spans="2:28" ht="15.75" outlineLevel="1" thickBot="1" x14ac:dyDescent="0.3">
      <c r="B77" s="574" t="s">
        <v>239</v>
      </c>
      <c r="C77" s="574"/>
      <c r="D77" s="574"/>
      <c r="E77" s="102"/>
      <c r="F77" s="95" t="s">
        <v>210</v>
      </c>
      <c r="G77" s="95" t="s">
        <v>210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</row>
    <row r="78" spans="2:28" ht="15.75" outlineLevel="1" thickBot="1" x14ac:dyDescent="0.3">
      <c r="B78" s="574" t="s">
        <v>240</v>
      </c>
      <c r="C78" s="574"/>
      <c r="D78" s="574"/>
      <c r="E78" s="102"/>
      <c r="F78" s="95" t="s">
        <v>210</v>
      </c>
      <c r="G78" s="95" t="s">
        <v>210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</row>
    <row r="79" spans="2:28" ht="15.75" outlineLevel="1" thickBot="1" x14ac:dyDescent="0.3">
      <c r="B79" s="166" t="s">
        <v>241</v>
      </c>
      <c r="C79" s="576" t="s">
        <v>218</v>
      </c>
      <c r="D79" s="576"/>
      <c r="E79" s="576"/>
      <c r="F79" s="576"/>
      <c r="G79" s="576"/>
      <c r="H79" s="576"/>
      <c r="I79" s="576"/>
      <c r="J79" s="576"/>
      <c r="K79" s="576"/>
      <c r="L79" s="576"/>
      <c r="M79" s="576"/>
      <c r="N79" s="576"/>
      <c r="O79" s="576"/>
      <c r="P79" s="576"/>
      <c r="Q79" s="576"/>
      <c r="R79" s="576"/>
      <c r="S79" s="576"/>
      <c r="T79" s="576"/>
      <c r="U79" s="576"/>
      <c r="V79" s="576"/>
      <c r="W79" s="576"/>
      <c r="X79" s="576"/>
      <c r="Y79" s="576"/>
      <c r="Z79" s="576"/>
    </row>
    <row r="80" spans="2:28" ht="15.75" outlineLevel="1" thickBot="1" x14ac:dyDescent="0.3">
      <c r="B80" s="167" t="s">
        <v>242</v>
      </c>
      <c r="C80" s="574" t="s">
        <v>128</v>
      </c>
      <c r="D80" s="574"/>
      <c r="E80" s="574"/>
      <c r="F80" s="574"/>
      <c r="G80" s="574"/>
      <c r="H80" s="574"/>
      <c r="I80" s="574"/>
      <c r="J80" s="574"/>
      <c r="K80" s="574"/>
      <c r="L80" s="574"/>
      <c r="M80" s="574"/>
      <c r="N80" s="574"/>
      <c r="O80" s="574"/>
      <c r="P80" s="574"/>
      <c r="Q80" s="574"/>
      <c r="R80" s="574"/>
      <c r="S80" s="574"/>
      <c r="T80" s="574"/>
      <c r="U80" s="574"/>
      <c r="V80" s="574"/>
      <c r="W80" s="574"/>
      <c r="X80" s="574"/>
      <c r="Y80" s="574"/>
      <c r="Z80" s="574"/>
    </row>
    <row r="81" spans="2:26" ht="15.75" outlineLevel="1" thickBot="1" x14ac:dyDescent="0.3">
      <c r="B81" s="102"/>
      <c r="C81" s="102"/>
      <c r="D81" s="102"/>
      <c r="E81" s="153"/>
      <c r="F81" s="95" t="s">
        <v>210</v>
      </c>
      <c r="G81" s="95" t="s">
        <v>210</v>
      </c>
      <c r="H81" s="95" t="s">
        <v>210</v>
      </c>
      <c r="I81" s="95" t="s">
        <v>210</v>
      </c>
      <c r="J81" s="95" t="s">
        <v>210</v>
      </c>
      <c r="K81" s="95" t="s">
        <v>210</v>
      </c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</row>
    <row r="82" spans="2:26" ht="15.75" outlineLevel="1" thickBot="1" x14ac:dyDescent="0.3">
      <c r="B82" s="574" t="s">
        <v>243</v>
      </c>
      <c r="C82" s="574"/>
      <c r="D82" s="574"/>
      <c r="E82" s="102"/>
      <c r="F82" s="95" t="s">
        <v>210</v>
      </c>
      <c r="G82" s="95" t="s">
        <v>210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</row>
    <row r="83" spans="2:26" ht="15.75" outlineLevel="1" thickBot="1" x14ac:dyDescent="0.3">
      <c r="B83" s="101" t="s">
        <v>244</v>
      </c>
      <c r="C83" s="574" t="s">
        <v>145</v>
      </c>
      <c r="D83" s="574"/>
      <c r="E83" s="574"/>
      <c r="F83" s="574"/>
      <c r="G83" s="574"/>
      <c r="H83" s="574"/>
      <c r="I83" s="574"/>
      <c r="J83" s="574"/>
      <c r="K83" s="574"/>
      <c r="L83" s="574"/>
      <c r="M83" s="574"/>
      <c r="N83" s="574"/>
      <c r="O83" s="574"/>
      <c r="P83" s="574"/>
      <c r="Q83" s="574"/>
      <c r="R83" s="574"/>
      <c r="S83" s="574"/>
      <c r="T83" s="574"/>
      <c r="U83" s="574"/>
      <c r="V83" s="574"/>
      <c r="W83" s="574"/>
      <c r="X83" s="574"/>
      <c r="Y83" s="574"/>
      <c r="Z83" s="574"/>
    </row>
    <row r="84" spans="2:26" ht="15.75" outlineLevel="1" thickBot="1" x14ac:dyDescent="0.3">
      <c r="B84" s="102"/>
      <c r="C84" s="102"/>
      <c r="D84" s="102"/>
      <c r="E84" s="102"/>
      <c r="F84" s="95" t="s">
        <v>210</v>
      </c>
      <c r="G84" s="95" t="s">
        <v>210</v>
      </c>
      <c r="H84" s="95" t="s">
        <v>210</v>
      </c>
      <c r="I84" s="95" t="s">
        <v>210</v>
      </c>
      <c r="J84" s="95" t="s">
        <v>210</v>
      </c>
      <c r="K84" s="95" t="s">
        <v>210</v>
      </c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</row>
    <row r="85" spans="2:26" ht="15.75" outlineLevel="1" thickBot="1" x14ac:dyDescent="0.3">
      <c r="B85" s="574" t="s">
        <v>245</v>
      </c>
      <c r="C85" s="574"/>
      <c r="D85" s="574"/>
      <c r="E85" s="102"/>
      <c r="F85" s="95" t="s">
        <v>210</v>
      </c>
      <c r="G85" s="95" t="s">
        <v>210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</row>
    <row r="86" spans="2:26" ht="15.75" outlineLevel="1" thickBot="1" x14ac:dyDescent="0.3">
      <c r="B86" s="167" t="s">
        <v>246</v>
      </c>
      <c r="C86" s="574" t="s">
        <v>152</v>
      </c>
      <c r="D86" s="574"/>
      <c r="E86" s="574"/>
      <c r="F86" s="574"/>
      <c r="G86" s="574"/>
      <c r="H86" s="574"/>
      <c r="I86" s="574"/>
      <c r="J86" s="574"/>
      <c r="K86" s="574"/>
      <c r="L86" s="574"/>
      <c r="M86" s="574"/>
      <c r="N86" s="574"/>
      <c r="O86" s="574"/>
      <c r="P86" s="574"/>
      <c r="Q86" s="574"/>
      <c r="R86" s="574"/>
      <c r="S86" s="574"/>
      <c r="T86" s="574"/>
      <c r="U86" s="574"/>
      <c r="V86" s="574"/>
      <c r="W86" s="574"/>
      <c r="X86" s="574"/>
      <c r="Y86" s="574"/>
      <c r="Z86" s="574"/>
    </row>
    <row r="87" spans="2:26" ht="30.75" outlineLevel="1" thickBot="1" x14ac:dyDescent="0.3">
      <c r="B87" s="101" t="s">
        <v>351</v>
      </c>
      <c r="C87" s="159" t="s">
        <v>153</v>
      </c>
      <c r="D87" s="65"/>
      <c r="E87" s="144">
        <v>4297</v>
      </c>
      <c r="F87" s="144">
        <f>'Дод 6.1.1'!D53</f>
        <v>3937.9308459999993</v>
      </c>
      <c r="G87" s="144">
        <f>'Дод 6.1.1'!E53</f>
        <v>359.50415400000111</v>
      </c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7">
        <v>4297.4350000000004</v>
      </c>
      <c r="S87" s="95"/>
      <c r="T87" s="95"/>
      <c r="U87" s="95"/>
      <c r="V87" s="95" t="s">
        <v>210</v>
      </c>
      <c r="W87" s="95" t="s">
        <v>540</v>
      </c>
      <c r="X87" s="95" t="s">
        <v>210</v>
      </c>
      <c r="Y87" s="95" t="s">
        <v>210</v>
      </c>
      <c r="Z87" s="95" t="s">
        <v>210</v>
      </c>
    </row>
    <row r="88" spans="2:26" ht="15.75" outlineLevel="1" thickBot="1" x14ac:dyDescent="0.3">
      <c r="B88" s="102"/>
      <c r="C88" s="102"/>
      <c r="D88" s="102"/>
      <c r="E88" s="148"/>
      <c r="F88" s="145" t="s">
        <v>210</v>
      </c>
      <c r="G88" s="145" t="s">
        <v>210</v>
      </c>
      <c r="H88" s="145" t="s">
        <v>210</v>
      </c>
      <c r="I88" s="145" t="s">
        <v>210</v>
      </c>
      <c r="J88" s="145" t="s">
        <v>210</v>
      </c>
      <c r="K88" s="145" t="s">
        <v>210</v>
      </c>
      <c r="L88" s="148"/>
      <c r="M88" s="148"/>
      <c r="N88" s="148"/>
      <c r="O88" s="148"/>
      <c r="P88" s="148"/>
      <c r="Q88" s="148"/>
      <c r="R88" s="148"/>
      <c r="S88" s="102"/>
      <c r="T88" s="102"/>
      <c r="U88" s="102"/>
      <c r="V88" s="102"/>
      <c r="W88" s="102"/>
      <c r="X88" s="102"/>
      <c r="Y88" s="102"/>
      <c r="Z88" s="102"/>
    </row>
    <row r="89" spans="2:26" ht="15.75" outlineLevel="1" thickBot="1" x14ac:dyDescent="0.3">
      <c r="B89" s="575" t="s">
        <v>247</v>
      </c>
      <c r="C89" s="575"/>
      <c r="D89" s="575"/>
      <c r="E89" s="153">
        <f>E87</f>
        <v>4297</v>
      </c>
      <c r="F89" s="153">
        <f>F87</f>
        <v>3937.9308459999993</v>
      </c>
      <c r="G89" s="153">
        <f>G87</f>
        <v>359.50415400000111</v>
      </c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46">
        <v>4297.4350000000004</v>
      </c>
      <c r="S89" s="151"/>
      <c r="T89" s="151"/>
      <c r="U89" s="151"/>
      <c r="V89" s="151"/>
      <c r="W89" s="151"/>
      <c r="X89" s="151"/>
      <c r="Y89" s="151"/>
      <c r="Z89" s="151"/>
    </row>
    <row r="90" spans="2:26" ht="15.75" outlineLevel="1" thickBot="1" x14ac:dyDescent="0.3">
      <c r="B90" s="102"/>
      <c r="C90" s="102"/>
      <c r="D90" s="102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7"/>
      <c r="S90" s="102"/>
      <c r="T90" s="102"/>
      <c r="U90" s="102"/>
      <c r="V90" s="102"/>
      <c r="W90" s="102"/>
      <c r="X90" s="102"/>
      <c r="Y90" s="102"/>
      <c r="Z90" s="102"/>
    </row>
    <row r="91" spans="2:26" ht="15.75" outlineLevel="1" thickBot="1" x14ac:dyDescent="0.3">
      <c r="B91" s="101" t="s">
        <v>248</v>
      </c>
      <c r="C91" s="574" t="s">
        <v>226</v>
      </c>
      <c r="D91" s="574"/>
      <c r="E91" s="574"/>
      <c r="F91" s="574"/>
      <c r="G91" s="574"/>
      <c r="H91" s="574"/>
      <c r="I91" s="574"/>
      <c r="J91" s="574"/>
      <c r="K91" s="574"/>
      <c r="L91" s="574"/>
      <c r="M91" s="574"/>
      <c r="N91" s="574"/>
      <c r="O91" s="574"/>
      <c r="P91" s="574"/>
      <c r="Q91" s="574"/>
      <c r="R91" s="574"/>
      <c r="S91" s="574"/>
      <c r="T91" s="574"/>
      <c r="U91" s="574"/>
      <c r="V91" s="574"/>
      <c r="W91" s="574"/>
      <c r="X91" s="574"/>
      <c r="Y91" s="574"/>
      <c r="Z91" s="574"/>
    </row>
    <row r="92" spans="2:26" ht="15.75" outlineLevel="1" thickBot="1" x14ac:dyDescent="0.3">
      <c r="B92" s="102"/>
      <c r="C92" s="102"/>
      <c r="D92" s="102"/>
      <c r="E92" s="102"/>
      <c r="F92" s="95" t="s">
        <v>210</v>
      </c>
      <c r="G92" s="95" t="s">
        <v>210</v>
      </c>
      <c r="H92" s="95" t="s">
        <v>210</v>
      </c>
      <c r="I92" s="95" t="s">
        <v>210</v>
      </c>
      <c r="J92" s="95" t="s">
        <v>210</v>
      </c>
      <c r="K92" s="95" t="s">
        <v>210</v>
      </c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</row>
    <row r="93" spans="2:26" ht="15.75" outlineLevel="1" thickBot="1" x14ac:dyDescent="0.3">
      <c r="B93" s="574" t="s">
        <v>249</v>
      </c>
      <c r="C93" s="574"/>
      <c r="D93" s="574"/>
      <c r="E93" s="102"/>
      <c r="F93" s="95" t="s">
        <v>210</v>
      </c>
      <c r="G93" s="95" t="s">
        <v>210</v>
      </c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2:26" ht="15.75" outlineLevel="1" thickBot="1" x14ac:dyDescent="0.3">
      <c r="B94" s="101" t="s">
        <v>250</v>
      </c>
      <c r="C94" s="574" t="s">
        <v>214</v>
      </c>
      <c r="D94" s="574"/>
      <c r="E94" s="574"/>
      <c r="F94" s="574"/>
      <c r="G94" s="574"/>
      <c r="H94" s="574"/>
      <c r="I94" s="574"/>
      <c r="J94" s="574"/>
      <c r="K94" s="574"/>
      <c r="L94" s="574"/>
      <c r="M94" s="574"/>
      <c r="N94" s="574"/>
      <c r="O94" s="574"/>
      <c r="P94" s="574"/>
      <c r="Q94" s="574"/>
      <c r="R94" s="574"/>
      <c r="S94" s="574"/>
      <c r="T94" s="574"/>
      <c r="U94" s="574"/>
      <c r="V94" s="574"/>
      <c r="W94" s="574"/>
      <c r="X94" s="574"/>
      <c r="Y94" s="574"/>
      <c r="Z94" s="574"/>
    </row>
    <row r="95" spans="2:26" ht="15.75" outlineLevel="1" thickBot="1" x14ac:dyDescent="0.3">
      <c r="B95" s="102"/>
      <c r="C95" s="102"/>
      <c r="D95" s="102"/>
      <c r="E95" s="102"/>
      <c r="F95" s="95" t="s">
        <v>210</v>
      </c>
      <c r="G95" s="95" t="s">
        <v>210</v>
      </c>
      <c r="H95" s="95" t="s">
        <v>210</v>
      </c>
      <c r="I95" s="95" t="s">
        <v>210</v>
      </c>
      <c r="J95" s="95" t="s">
        <v>210</v>
      </c>
      <c r="K95" s="95" t="s">
        <v>210</v>
      </c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</row>
    <row r="96" spans="2:26" ht="15.75" outlineLevel="1" thickBot="1" x14ac:dyDescent="0.3">
      <c r="B96" s="574" t="s">
        <v>251</v>
      </c>
      <c r="C96" s="574"/>
      <c r="D96" s="574"/>
      <c r="E96" s="102"/>
      <c r="F96" s="95" t="s">
        <v>210</v>
      </c>
      <c r="G96" s="95" t="s">
        <v>210</v>
      </c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</row>
    <row r="97" spans="2:26" ht="15.75" outlineLevel="1" thickBot="1" x14ac:dyDescent="0.3">
      <c r="B97" s="574" t="s">
        <v>252</v>
      </c>
      <c r="C97" s="574"/>
      <c r="D97" s="574"/>
      <c r="E97" s="102"/>
      <c r="F97" s="95" t="s">
        <v>210</v>
      </c>
      <c r="G97" s="95" t="s">
        <v>210</v>
      </c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</row>
    <row r="98" spans="2:26" ht="15.75" outlineLevel="1" thickBot="1" x14ac:dyDescent="0.3">
      <c r="B98" s="575" t="s">
        <v>253</v>
      </c>
      <c r="C98" s="575"/>
      <c r="D98" s="575"/>
      <c r="E98" s="153">
        <f>E68+E72+E89</f>
        <v>78349</v>
      </c>
      <c r="F98" s="153">
        <f>F68+F72+F89</f>
        <v>49863.87834044444</v>
      </c>
      <c r="G98" s="153">
        <f>G68+G72+G89</f>
        <v>28485.121659555556</v>
      </c>
      <c r="H98" s="153">
        <f t="shared" ref="H98:Z98" si="1">H68+H72+H89</f>
        <v>0</v>
      </c>
      <c r="I98" s="153">
        <f t="shared" si="1"/>
        <v>0</v>
      </c>
      <c r="J98" s="153">
        <f t="shared" si="1"/>
        <v>0</v>
      </c>
      <c r="K98" s="153">
        <f t="shared" si="1"/>
        <v>0</v>
      </c>
      <c r="L98" s="153">
        <f t="shared" si="1"/>
        <v>0</v>
      </c>
      <c r="M98" s="153">
        <f t="shared" si="1"/>
        <v>0</v>
      </c>
      <c r="N98" s="153">
        <f t="shared" si="1"/>
        <v>28684.035</v>
      </c>
      <c r="O98" s="153">
        <f t="shared" si="1"/>
        <v>5906.616</v>
      </c>
      <c r="P98" s="153">
        <f t="shared" si="1"/>
        <v>22777.419000000002</v>
      </c>
      <c r="Q98" s="153">
        <f t="shared" si="1"/>
        <v>14236.846000000001</v>
      </c>
      <c r="R98" s="153">
        <f t="shared" si="1"/>
        <v>4297.4350000000004</v>
      </c>
      <c r="S98" s="153">
        <f t="shared" si="1"/>
        <v>13062.538</v>
      </c>
      <c r="T98" s="153">
        <f t="shared" si="1"/>
        <v>10228.357</v>
      </c>
      <c r="U98" s="153">
        <f t="shared" si="1"/>
        <v>7840.0129999999999</v>
      </c>
      <c r="V98" s="153">
        <f t="shared" si="1"/>
        <v>0</v>
      </c>
      <c r="W98" s="153">
        <f t="shared" si="1"/>
        <v>0</v>
      </c>
      <c r="X98" s="153">
        <f t="shared" si="1"/>
        <v>0</v>
      </c>
      <c r="Y98" s="153">
        <f t="shared" si="1"/>
        <v>0</v>
      </c>
      <c r="Z98" s="153">
        <f t="shared" si="1"/>
        <v>0</v>
      </c>
    </row>
    <row r="99" spans="2:26" ht="15.75" thickBot="1" x14ac:dyDescent="0.3">
      <c r="B99" s="99" t="s">
        <v>254</v>
      </c>
      <c r="C99" s="575" t="s">
        <v>255</v>
      </c>
      <c r="D99" s="575"/>
      <c r="E99" s="575"/>
      <c r="F99" s="575"/>
      <c r="G99" s="575"/>
      <c r="H99" s="575"/>
      <c r="I99" s="575"/>
      <c r="J99" s="575"/>
      <c r="K99" s="575"/>
      <c r="L99" s="575"/>
      <c r="M99" s="575"/>
      <c r="N99" s="575"/>
      <c r="O99" s="575"/>
      <c r="P99" s="575"/>
      <c r="Q99" s="575"/>
      <c r="R99" s="575"/>
      <c r="S99" s="575"/>
      <c r="T99" s="575"/>
      <c r="U99" s="575"/>
      <c r="V99" s="575"/>
      <c r="W99" s="575"/>
      <c r="X99" s="575"/>
      <c r="Y99" s="575"/>
      <c r="Z99" s="575"/>
    </row>
    <row r="100" spans="2:26" ht="15.75" hidden="1" outlineLevel="1" thickBot="1" x14ac:dyDescent="0.3">
      <c r="B100" s="100" t="s">
        <v>256</v>
      </c>
      <c r="C100" s="576" t="s">
        <v>208</v>
      </c>
      <c r="D100" s="576"/>
      <c r="E100" s="576"/>
      <c r="F100" s="576"/>
      <c r="G100" s="576"/>
      <c r="H100" s="576"/>
      <c r="I100" s="576"/>
      <c r="J100" s="576"/>
      <c r="K100" s="576"/>
      <c r="L100" s="576"/>
      <c r="M100" s="576"/>
      <c r="N100" s="576"/>
      <c r="O100" s="576"/>
      <c r="P100" s="576"/>
      <c r="Q100" s="576"/>
      <c r="R100" s="576"/>
      <c r="S100" s="576"/>
      <c r="T100" s="576"/>
      <c r="U100" s="576"/>
      <c r="V100" s="576"/>
      <c r="W100" s="576"/>
      <c r="X100" s="576"/>
      <c r="Y100" s="576"/>
      <c r="Z100" s="576"/>
    </row>
    <row r="101" spans="2:26" ht="15.75" hidden="1" outlineLevel="1" thickBot="1" x14ac:dyDescent="0.3">
      <c r="B101" s="101" t="s">
        <v>257</v>
      </c>
      <c r="C101" s="574" t="s">
        <v>128</v>
      </c>
      <c r="D101" s="574"/>
      <c r="E101" s="574"/>
      <c r="F101" s="574"/>
      <c r="G101" s="574"/>
      <c r="H101" s="574"/>
      <c r="I101" s="574"/>
      <c r="J101" s="574"/>
      <c r="K101" s="574"/>
      <c r="L101" s="574"/>
      <c r="M101" s="574"/>
      <c r="N101" s="574"/>
      <c r="O101" s="574"/>
      <c r="P101" s="574"/>
      <c r="Q101" s="574"/>
      <c r="R101" s="574"/>
      <c r="S101" s="574"/>
      <c r="T101" s="574"/>
      <c r="U101" s="574"/>
      <c r="V101" s="574"/>
      <c r="W101" s="574"/>
      <c r="X101" s="574"/>
      <c r="Y101" s="574"/>
      <c r="Z101" s="574"/>
    </row>
    <row r="102" spans="2:26" ht="15.75" hidden="1" customHeight="1" outlineLevel="1" thickBot="1" x14ac:dyDescent="0.3">
      <c r="B102" s="102"/>
      <c r="C102" s="102"/>
      <c r="D102" s="102"/>
      <c r="E102" s="102"/>
      <c r="F102" s="95" t="s">
        <v>210</v>
      </c>
      <c r="G102" s="95" t="s">
        <v>210</v>
      </c>
      <c r="H102" s="95" t="s">
        <v>210</v>
      </c>
      <c r="I102" s="95" t="s">
        <v>210</v>
      </c>
      <c r="J102" s="95" t="s">
        <v>210</v>
      </c>
      <c r="K102" s="95" t="s">
        <v>210</v>
      </c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</row>
    <row r="103" spans="2:26" ht="15.75" hidden="1" customHeight="1" outlineLevel="1" thickBot="1" x14ac:dyDescent="0.3">
      <c r="B103" s="574" t="s">
        <v>258</v>
      </c>
      <c r="C103" s="574"/>
      <c r="D103" s="574"/>
      <c r="E103" s="102"/>
      <c r="F103" s="95" t="s">
        <v>210</v>
      </c>
      <c r="G103" s="95" t="s">
        <v>210</v>
      </c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</row>
    <row r="104" spans="2:26" ht="15.75" hidden="1" outlineLevel="1" thickBot="1" x14ac:dyDescent="0.3">
      <c r="B104" s="101" t="s">
        <v>259</v>
      </c>
      <c r="C104" s="574" t="s">
        <v>145</v>
      </c>
      <c r="D104" s="574"/>
      <c r="E104" s="574"/>
      <c r="F104" s="574"/>
      <c r="G104" s="574"/>
      <c r="H104" s="574"/>
      <c r="I104" s="574"/>
      <c r="J104" s="574"/>
      <c r="K104" s="574"/>
      <c r="L104" s="574"/>
      <c r="M104" s="574"/>
      <c r="N104" s="574"/>
      <c r="O104" s="574"/>
      <c r="P104" s="574"/>
      <c r="Q104" s="574"/>
      <c r="R104" s="574"/>
      <c r="S104" s="574"/>
      <c r="T104" s="574"/>
      <c r="U104" s="574"/>
      <c r="V104" s="574"/>
      <c r="W104" s="574"/>
      <c r="X104" s="574"/>
      <c r="Y104" s="574"/>
      <c r="Z104" s="574"/>
    </row>
    <row r="105" spans="2:26" ht="15.75" hidden="1" customHeight="1" outlineLevel="1" thickBot="1" x14ac:dyDescent="0.3">
      <c r="B105" s="102"/>
      <c r="C105" s="102"/>
      <c r="D105" s="102"/>
      <c r="E105" s="102"/>
      <c r="F105" s="95" t="s">
        <v>210</v>
      </c>
      <c r="G105" s="95" t="s">
        <v>210</v>
      </c>
      <c r="H105" s="95" t="s">
        <v>210</v>
      </c>
      <c r="I105" s="95" t="s">
        <v>210</v>
      </c>
      <c r="J105" s="95" t="s">
        <v>210</v>
      </c>
      <c r="K105" s="95" t="s">
        <v>210</v>
      </c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</row>
    <row r="106" spans="2:26" ht="15.75" hidden="1" customHeight="1" outlineLevel="1" thickBot="1" x14ac:dyDescent="0.3">
      <c r="B106" s="574" t="s">
        <v>260</v>
      </c>
      <c r="C106" s="574"/>
      <c r="D106" s="574"/>
      <c r="E106" s="102"/>
      <c r="F106" s="95" t="s">
        <v>210</v>
      </c>
      <c r="G106" s="95" t="s">
        <v>210</v>
      </c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</row>
    <row r="107" spans="2:26" ht="15.75" hidden="1" outlineLevel="1" thickBot="1" x14ac:dyDescent="0.3">
      <c r="B107" s="101" t="s">
        <v>261</v>
      </c>
      <c r="C107" s="574" t="s">
        <v>214</v>
      </c>
      <c r="D107" s="574"/>
      <c r="E107" s="574"/>
      <c r="F107" s="574"/>
      <c r="G107" s="574"/>
      <c r="H107" s="574"/>
      <c r="I107" s="574"/>
      <c r="J107" s="574"/>
      <c r="K107" s="574"/>
      <c r="L107" s="574"/>
      <c r="M107" s="574"/>
      <c r="N107" s="574"/>
      <c r="O107" s="574"/>
      <c r="P107" s="574"/>
      <c r="Q107" s="574"/>
      <c r="R107" s="574"/>
      <c r="S107" s="574"/>
      <c r="T107" s="574"/>
      <c r="U107" s="574"/>
      <c r="V107" s="574"/>
      <c r="W107" s="574"/>
      <c r="X107" s="574"/>
      <c r="Y107" s="574"/>
      <c r="Z107" s="574"/>
    </row>
    <row r="108" spans="2:26" ht="15.75" hidden="1" customHeight="1" outlineLevel="1" thickBot="1" x14ac:dyDescent="0.3">
      <c r="B108" s="102"/>
      <c r="C108" s="102"/>
      <c r="D108" s="102"/>
      <c r="E108" s="102"/>
      <c r="F108" s="95" t="s">
        <v>210</v>
      </c>
      <c r="G108" s="95" t="s">
        <v>210</v>
      </c>
      <c r="H108" s="95" t="s">
        <v>210</v>
      </c>
      <c r="I108" s="95" t="s">
        <v>210</v>
      </c>
      <c r="J108" s="95" t="s">
        <v>210</v>
      </c>
      <c r="K108" s="95" t="s">
        <v>210</v>
      </c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</row>
    <row r="109" spans="2:26" ht="15.75" hidden="1" customHeight="1" outlineLevel="1" thickBot="1" x14ac:dyDescent="0.3">
      <c r="B109" s="574" t="s">
        <v>262</v>
      </c>
      <c r="C109" s="574"/>
      <c r="D109" s="574"/>
      <c r="E109" s="102"/>
      <c r="F109" s="95" t="s">
        <v>210</v>
      </c>
      <c r="G109" s="95" t="s">
        <v>210</v>
      </c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</row>
    <row r="110" spans="2:26" ht="15.75" hidden="1" customHeight="1" outlineLevel="1" thickBot="1" x14ac:dyDescent="0.3">
      <c r="B110" s="574" t="s">
        <v>263</v>
      </c>
      <c r="C110" s="574"/>
      <c r="D110" s="574"/>
      <c r="E110" s="102"/>
      <c r="F110" s="95" t="s">
        <v>210</v>
      </c>
      <c r="G110" s="95" t="s">
        <v>210</v>
      </c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</row>
    <row r="111" spans="2:26" ht="15.75" hidden="1" outlineLevel="1" thickBot="1" x14ac:dyDescent="0.3">
      <c r="B111" s="100" t="s">
        <v>264</v>
      </c>
      <c r="C111" s="576" t="s">
        <v>218</v>
      </c>
      <c r="D111" s="576"/>
      <c r="E111" s="576"/>
      <c r="F111" s="576"/>
      <c r="G111" s="576"/>
      <c r="H111" s="576"/>
      <c r="I111" s="576"/>
      <c r="J111" s="576"/>
      <c r="K111" s="576"/>
      <c r="L111" s="576"/>
      <c r="M111" s="576"/>
      <c r="N111" s="576"/>
      <c r="O111" s="576"/>
      <c r="P111" s="576"/>
      <c r="Q111" s="576"/>
      <c r="R111" s="576"/>
      <c r="S111" s="576"/>
      <c r="T111" s="576"/>
      <c r="U111" s="576"/>
      <c r="V111" s="576"/>
      <c r="W111" s="576"/>
      <c r="X111" s="576"/>
      <c r="Y111" s="576"/>
      <c r="Z111" s="576"/>
    </row>
    <row r="112" spans="2:26" ht="15.75" hidden="1" outlineLevel="1" thickBot="1" x14ac:dyDescent="0.3">
      <c r="B112" s="101" t="s">
        <v>265</v>
      </c>
      <c r="C112" s="574" t="s">
        <v>128</v>
      </c>
      <c r="D112" s="574"/>
      <c r="E112" s="574"/>
      <c r="F112" s="574"/>
      <c r="G112" s="574"/>
      <c r="H112" s="574"/>
      <c r="I112" s="574"/>
      <c r="J112" s="574"/>
      <c r="K112" s="574"/>
      <c r="L112" s="574"/>
      <c r="M112" s="574"/>
      <c r="N112" s="574"/>
      <c r="O112" s="574"/>
      <c r="P112" s="574"/>
      <c r="Q112" s="574"/>
      <c r="R112" s="574"/>
      <c r="S112" s="574"/>
      <c r="T112" s="574"/>
      <c r="U112" s="574"/>
      <c r="V112" s="574"/>
      <c r="W112" s="574"/>
      <c r="X112" s="574"/>
      <c r="Y112" s="574"/>
      <c r="Z112" s="574"/>
    </row>
    <row r="113" spans="2:26" ht="15.75" hidden="1" customHeight="1" outlineLevel="1" thickBot="1" x14ac:dyDescent="0.3">
      <c r="B113" s="102"/>
      <c r="C113" s="102"/>
      <c r="D113" s="102"/>
      <c r="E113" s="102"/>
      <c r="F113" s="95" t="s">
        <v>210</v>
      </c>
      <c r="G113" s="95" t="s">
        <v>210</v>
      </c>
      <c r="H113" s="95" t="s">
        <v>210</v>
      </c>
      <c r="I113" s="95" t="s">
        <v>210</v>
      </c>
      <c r="J113" s="95" t="s">
        <v>210</v>
      </c>
      <c r="K113" s="95" t="s">
        <v>210</v>
      </c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</row>
    <row r="114" spans="2:26" ht="15.75" hidden="1" customHeight="1" outlineLevel="1" thickBot="1" x14ac:dyDescent="0.3">
      <c r="B114" s="574" t="s">
        <v>266</v>
      </c>
      <c r="C114" s="574"/>
      <c r="D114" s="574"/>
      <c r="E114" s="102"/>
      <c r="F114" s="95" t="s">
        <v>210</v>
      </c>
      <c r="G114" s="95" t="s">
        <v>210</v>
      </c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</row>
    <row r="115" spans="2:26" ht="15.75" hidden="1" outlineLevel="1" thickBot="1" x14ac:dyDescent="0.3">
      <c r="B115" s="101" t="s">
        <v>267</v>
      </c>
      <c r="C115" s="574" t="s">
        <v>145</v>
      </c>
      <c r="D115" s="574"/>
      <c r="E115" s="574"/>
      <c r="F115" s="574"/>
      <c r="G115" s="574"/>
      <c r="H115" s="574"/>
      <c r="I115" s="574"/>
      <c r="J115" s="574"/>
      <c r="K115" s="574"/>
      <c r="L115" s="574"/>
      <c r="M115" s="574"/>
      <c r="N115" s="574"/>
      <c r="O115" s="574"/>
      <c r="P115" s="574"/>
      <c r="Q115" s="574"/>
      <c r="R115" s="574"/>
      <c r="S115" s="574"/>
      <c r="T115" s="574"/>
      <c r="U115" s="574"/>
      <c r="V115" s="574"/>
      <c r="W115" s="574"/>
      <c r="X115" s="574"/>
      <c r="Y115" s="574"/>
      <c r="Z115" s="574"/>
    </row>
    <row r="116" spans="2:26" ht="15.75" hidden="1" customHeight="1" outlineLevel="1" thickBot="1" x14ac:dyDescent="0.3">
      <c r="B116" s="102"/>
      <c r="C116" s="102"/>
      <c r="D116" s="102"/>
      <c r="E116" s="102"/>
      <c r="F116" s="95" t="s">
        <v>210</v>
      </c>
      <c r="G116" s="95" t="s">
        <v>210</v>
      </c>
      <c r="H116" s="95" t="s">
        <v>210</v>
      </c>
      <c r="I116" s="95" t="s">
        <v>210</v>
      </c>
      <c r="J116" s="95" t="s">
        <v>210</v>
      </c>
      <c r="K116" s="95" t="s">
        <v>210</v>
      </c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</row>
    <row r="117" spans="2:26" ht="15.75" hidden="1" customHeight="1" outlineLevel="1" thickBot="1" x14ac:dyDescent="0.3">
      <c r="B117" s="574" t="s">
        <v>268</v>
      </c>
      <c r="C117" s="574"/>
      <c r="D117" s="574"/>
      <c r="E117" s="102"/>
      <c r="F117" s="95" t="s">
        <v>210</v>
      </c>
      <c r="G117" s="95" t="s">
        <v>210</v>
      </c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</row>
    <row r="118" spans="2:26" ht="15.75" hidden="1" outlineLevel="1" thickBot="1" x14ac:dyDescent="0.3">
      <c r="B118" s="101" t="s">
        <v>269</v>
      </c>
      <c r="C118" s="574" t="s">
        <v>152</v>
      </c>
      <c r="D118" s="574"/>
      <c r="E118" s="574"/>
      <c r="F118" s="574"/>
      <c r="G118" s="574"/>
      <c r="H118" s="574"/>
      <c r="I118" s="574"/>
      <c r="J118" s="574"/>
      <c r="K118" s="574"/>
      <c r="L118" s="574"/>
      <c r="M118" s="574"/>
      <c r="N118" s="574"/>
      <c r="O118" s="574"/>
      <c r="P118" s="574"/>
      <c r="Q118" s="574"/>
      <c r="R118" s="574"/>
      <c r="S118" s="574"/>
      <c r="T118" s="574"/>
      <c r="U118" s="574"/>
      <c r="V118" s="574"/>
      <c r="W118" s="574"/>
      <c r="X118" s="574"/>
      <c r="Y118" s="574"/>
      <c r="Z118" s="574"/>
    </row>
    <row r="119" spans="2:26" ht="15.75" hidden="1" customHeight="1" outlineLevel="1" thickBot="1" x14ac:dyDescent="0.3">
      <c r="B119" s="102"/>
      <c r="C119" s="102"/>
      <c r="D119" s="102"/>
      <c r="E119" s="102"/>
      <c r="F119" s="95" t="s">
        <v>210</v>
      </c>
      <c r="G119" s="95" t="s">
        <v>210</v>
      </c>
      <c r="H119" s="95" t="s">
        <v>210</v>
      </c>
      <c r="I119" s="95" t="s">
        <v>210</v>
      </c>
      <c r="J119" s="95" t="s">
        <v>210</v>
      </c>
      <c r="K119" s="95" t="s">
        <v>210</v>
      </c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</row>
    <row r="120" spans="2:26" ht="15.75" hidden="1" customHeight="1" outlineLevel="1" thickBot="1" x14ac:dyDescent="0.3">
      <c r="B120" s="574" t="s">
        <v>270</v>
      </c>
      <c r="C120" s="574"/>
      <c r="D120" s="574"/>
      <c r="E120" s="102"/>
      <c r="F120" s="95" t="s">
        <v>210</v>
      </c>
      <c r="G120" s="95" t="s">
        <v>210</v>
      </c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</row>
    <row r="121" spans="2:26" ht="15.75" hidden="1" outlineLevel="1" thickBot="1" x14ac:dyDescent="0.3">
      <c r="B121" s="101" t="s">
        <v>271</v>
      </c>
      <c r="C121" s="574" t="s">
        <v>226</v>
      </c>
      <c r="D121" s="574"/>
      <c r="E121" s="574"/>
      <c r="F121" s="574"/>
      <c r="G121" s="574"/>
      <c r="H121" s="574"/>
      <c r="I121" s="574"/>
      <c r="J121" s="574"/>
      <c r="K121" s="574"/>
      <c r="L121" s="574"/>
      <c r="M121" s="574"/>
      <c r="N121" s="574"/>
      <c r="O121" s="574"/>
      <c r="P121" s="574"/>
      <c r="Q121" s="574"/>
      <c r="R121" s="574"/>
      <c r="S121" s="574"/>
      <c r="T121" s="574"/>
      <c r="U121" s="574"/>
      <c r="V121" s="574"/>
      <c r="W121" s="574"/>
      <c r="X121" s="574"/>
      <c r="Y121" s="574"/>
      <c r="Z121" s="574"/>
    </row>
    <row r="122" spans="2:26" ht="15.75" hidden="1" customHeight="1" outlineLevel="1" thickBot="1" x14ac:dyDescent="0.3">
      <c r="B122" s="102"/>
      <c r="C122" s="102"/>
      <c r="D122" s="102"/>
      <c r="E122" s="102"/>
      <c r="F122" s="95" t="s">
        <v>210</v>
      </c>
      <c r="G122" s="95" t="s">
        <v>210</v>
      </c>
      <c r="H122" s="95" t="s">
        <v>210</v>
      </c>
      <c r="I122" s="95" t="s">
        <v>210</v>
      </c>
      <c r="J122" s="95" t="s">
        <v>210</v>
      </c>
      <c r="K122" s="95" t="s">
        <v>210</v>
      </c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</row>
    <row r="123" spans="2:26" ht="15.75" hidden="1" customHeight="1" outlineLevel="1" thickBot="1" x14ac:dyDescent="0.3">
      <c r="B123" s="574" t="s">
        <v>272</v>
      </c>
      <c r="C123" s="574"/>
      <c r="D123" s="574"/>
      <c r="E123" s="102"/>
      <c r="F123" s="95" t="s">
        <v>210</v>
      </c>
      <c r="G123" s="95" t="s">
        <v>210</v>
      </c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</row>
    <row r="124" spans="2:26" ht="15.75" hidden="1" outlineLevel="1" thickBot="1" x14ac:dyDescent="0.3">
      <c r="B124" s="101" t="s">
        <v>273</v>
      </c>
      <c r="C124" s="574" t="s">
        <v>214</v>
      </c>
      <c r="D124" s="574"/>
      <c r="E124" s="574"/>
      <c r="F124" s="574"/>
      <c r="G124" s="574"/>
      <c r="H124" s="574"/>
      <c r="I124" s="574"/>
      <c r="J124" s="574"/>
      <c r="K124" s="574"/>
      <c r="L124" s="574"/>
      <c r="M124" s="574"/>
      <c r="N124" s="574"/>
      <c r="O124" s="574"/>
      <c r="P124" s="574"/>
      <c r="Q124" s="574"/>
      <c r="R124" s="574"/>
      <c r="S124" s="574"/>
      <c r="T124" s="574"/>
      <c r="U124" s="574"/>
      <c r="V124" s="574"/>
      <c r="W124" s="574"/>
      <c r="X124" s="574"/>
      <c r="Y124" s="574"/>
      <c r="Z124" s="574"/>
    </row>
    <row r="125" spans="2:26" ht="15.75" hidden="1" customHeight="1" outlineLevel="1" thickBot="1" x14ac:dyDescent="0.3">
      <c r="B125" s="102"/>
      <c r="C125" s="102"/>
      <c r="D125" s="102"/>
      <c r="E125" s="102"/>
      <c r="F125" s="95" t="s">
        <v>210</v>
      </c>
      <c r="G125" s="95" t="s">
        <v>210</v>
      </c>
      <c r="H125" s="95" t="s">
        <v>210</v>
      </c>
      <c r="I125" s="95" t="s">
        <v>210</v>
      </c>
      <c r="J125" s="95" t="s">
        <v>210</v>
      </c>
      <c r="K125" s="95" t="s">
        <v>210</v>
      </c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</row>
    <row r="126" spans="2:26" ht="15.75" hidden="1" customHeight="1" outlineLevel="1" thickBot="1" x14ac:dyDescent="0.3">
      <c r="B126" s="574" t="s">
        <v>274</v>
      </c>
      <c r="C126" s="574"/>
      <c r="D126" s="574"/>
      <c r="E126" s="102"/>
      <c r="F126" s="95" t="s">
        <v>210</v>
      </c>
      <c r="G126" s="95" t="s">
        <v>210</v>
      </c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</row>
    <row r="127" spans="2:26" ht="15.75" hidden="1" customHeight="1" outlineLevel="1" thickBot="1" x14ac:dyDescent="0.3">
      <c r="B127" s="574" t="s">
        <v>275</v>
      </c>
      <c r="C127" s="574"/>
      <c r="D127" s="574"/>
      <c r="E127" s="102"/>
      <c r="F127" s="95" t="s">
        <v>210</v>
      </c>
      <c r="G127" s="95" t="s">
        <v>210</v>
      </c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</row>
    <row r="128" spans="2:26" ht="19.5" hidden="1" customHeight="1" outlineLevel="1" thickBot="1" x14ac:dyDescent="0.3">
      <c r="B128" s="575" t="s">
        <v>276</v>
      </c>
      <c r="C128" s="575"/>
      <c r="D128" s="575"/>
      <c r="E128" s="102"/>
      <c r="F128" s="95" t="s">
        <v>210</v>
      </c>
      <c r="G128" s="95" t="s">
        <v>210</v>
      </c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</row>
    <row r="129" spans="2:26" ht="23.25" hidden="1" customHeight="1" outlineLevel="1" thickBot="1" x14ac:dyDescent="0.3">
      <c r="B129" s="575" t="s">
        <v>155</v>
      </c>
      <c r="C129" s="575"/>
      <c r="D129" s="575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</row>
    <row r="130" spans="2:26" ht="15.75" collapsed="1" thickBot="1" x14ac:dyDescent="0.3">
      <c r="B130" s="581" t="s">
        <v>277</v>
      </c>
      <c r="C130" s="581"/>
      <c r="D130" s="581"/>
      <c r="E130" s="581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</row>
    <row r="131" spans="2:26" ht="15.75" thickBot="1" x14ac:dyDescent="0.3">
      <c r="B131" s="581" t="s">
        <v>278</v>
      </c>
      <c r="C131" s="581"/>
      <c r="D131" s="581"/>
      <c r="E131" s="581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</row>
    <row r="132" spans="2:26" ht="15.75" thickBot="1" x14ac:dyDescent="0.3">
      <c r="B132" s="580"/>
      <c r="C132" s="580"/>
      <c r="D132" s="580"/>
      <c r="E132" s="580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</row>
    <row r="133" spans="2:26" ht="15.75" thickBot="1" x14ac:dyDescent="0.3">
      <c r="B133" s="580"/>
      <c r="C133" s="580"/>
      <c r="D133" s="580"/>
      <c r="E133" s="580"/>
      <c r="F133" s="581"/>
      <c r="G133" s="581"/>
      <c r="H133" s="581"/>
      <c r="I133" s="581"/>
      <c r="J133" s="581"/>
      <c r="K133" s="581"/>
      <c r="L133" s="581"/>
      <c r="M133" s="581"/>
      <c r="N133" s="581"/>
      <c r="O133" s="581"/>
      <c r="P133" s="581"/>
      <c r="Q133" s="581"/>
      <c r="R133" s="581"/>
      <c r="S133" s="581"/>
      <c r="T133" s="581"/>
      <c r="U133" s="581"/>
      <c r="V133" s="581"/>
      <c r="W133" s="581"/>
      <c r="X133" s="581"/>
      <c r="Y133" s="581"/>
      <c r="Z133" s="581"/>
    </row>
    <row r="134" spans="2:26" ht="15.75" thickBot="1" x14ac:dyDescent="0.3">
      <c r="B134" s="580"/>
      <c r="C134" s="580"/>
      <c r="D134" s="580"/>
      <c r="E134" s="580"/>
      <c r="F134" s="581"/>
      <c r="G134" s="581"/>
      <c r="H134" s="581"/>
      <c r="I134" s="581"/>
      <c r="J134" s="581"/>
      <c r="K134" s="581"/>
      <c r="L134" s="581"/>
      <c r="M134" s="581"/>
      <c r="N134" s="581"/>
      <c r="O134" s="581"/>
      <c r="P134" s="581"/>
      <c r="Q134" s="581"/>
      <c r="R134" s="581"/>
      <c r="S134" s="581"/>
      <c r="T134" s="581"/>
      <c r="U134" s="581"/>
      <c r="V134" s="581"/>
      <c r="W134" s="581"/>
      <c r="X134" s="581"/>
      <c r="Y134" s="581"/>
      <c r="Z134" s="581"/>
    </row>
    <row r="135" spans="2:26" x14ac:dyDescent="0.25"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</row>
    <row r="136" spans="2:26" ht="15.75" x14ac:dyDescent="0.25">
      <c r="B136" s="103"/>
    </row>
    <row r="137" spans="2:26" ht="15.75" x14ac:dyDescent="0.25">
      <c r="B137" s="562" t="s">
        <v>280</v>
      </c>
      <c r="C137" s="562"/>
      <c r="D137" s="562"/>
      <c r="E137" s="562"/>
      <c r="F137" s="562"/>
      <c r="G137" s="562"/>
      <c r="H137" s="562"/>
      <c r="I137" s="562" t="s">
        <v>281</v>
      </c>
      <c r="J137" s="562"/>
      <c r="K137" s="562"/>
      <c r="L137" s="562"/>
      <c r="M137" s="562"/>
      <c r="N137" s="562"/>
      <c r="O137" s="562"/>
      <c r="P137" s="104"/>
      <c r="Q137" s="104"/>
      <c r="R137" s="104"/>
      <c r="S137" s="104"/>
      <c r="T137" s="104"/>
      <c r="U137" s="562" t="s">
        <v>280</v>
      </c>
      <c r="V137" s="562"/>
      <c r="W137" s="562"/>
      <c r="X137" s="562"/>
      <c r="Y137" s="562"/>
      <c r="Z137" s="562"/>
    </row>
    <row r="138" spans="2:26" x14ac:dyDescent="0.25">
      <c r="B138" s="563" t="s">
        <v>282</v>
      </c>
      <c r="C138" s="563"/>
      <c r="D138" s="563"/>
      <c r="E138" s="563"/>
      <c r="F138" s="563"/>
      <c r="G138" s="563"/>
      <c r="H138" s="563"/>
      <c r="I138" s="563" t="s">
        <v>283</v>
      </c>
      <c r="J138" s="563"/>
      <c r="K138" s="563"/>
      <c r="L138" s="563"/>
      <c r="M138" s="563"/>
      <c r="N138" s="563"/>
      <c r="O138" s="563"/>
      <c r="P138" s="105"/>
      <c r="Q138" s="105"/>
      <c r="R138" s="105"/>
      <c r="S138" s="105"/>
      <c r="T138" s="105"/>
      <c r="U138" s="563" t="s">
        <v>284</v>
      </c>
      <c r="V138" s="563"/>
      <c r="W138" s="563"/>
      <c r="X138" s="563"/>
      <c r="Y138" s="563"/>
      <c r="Z138" s="563"/>
    </row>
  </sheetData>
  <mergeCells count="130">
    <mergeCell ref="B138:H138"/>
    <mergeCell ref="I138:O138"/>
    <mergeCell ref="U138:Z138"/>
    <mergeCell ref="B68:D68"/>
    <mergeCell ref="B72:D72"/>
    <mergeCell ref="B133:E133"/>
    <mergeCell ref="F133:Z133"/>
    <mergeCell ref="B134:E134"/>
    <mergeCell ref="F134:Z134"/>
    <mergeCell ref="B137:H137"/>
    <mergeCell ref="I137:O137"/>
    <mergeCell ref="U137:Z137"/>
    <mergeCell ref="B129:D129"/>
    <mergeCell ref="B130:E130"/>
    <mergeCell ref="B131:E131"/>
    <mergeCell ref="B132:E132"/>
    <mergeCell ref="B126:D126"/>
    <mergeCell ref="B127:D127"/>
    <mergeCell ref="B128:D128"/>
    <mergeCell ref="C121:Z121"/>
    <mergeCell ref="B123:D123"/>
    <mergeCell ref="C124:Z124"/>
    <mergeCell ref="B117:D117"/>
    <mergeCell ref="C118:Z118"/>
    <mergeCell ref="B120:D120"/>
    <mergeCell ref="C111:Z111"/>
    <mergeCell ref="C112:Z112"/>
    <mergeCell ref="B114:D114"/>
    <mergeCell ref="C115:Z115"/>
    <mergeCell ref="C107:Z107"/>
    <mergeCell ref="B109:D109"/>
    <mergeCell ref="B110:D110"/>
    <mergeCell ref="B103:D103"/>
    <mergeCell ref="C104:Z104"/>
    <mergeCell ref="B106:D106"/>
    <mergeCell ref="B98:D98"/>
    <mergeCell ref="C99:Z99"/>
    <mergeCell ref="C100:Z100"/>
    <mergeCell ref="C101:Z101"/>
    <mergeCell ref="C94:Z94"/>
    <mergeCell ref="B96:D96"/>
    <mergeCell ref="B97:D97"/>
    <mergeCell ref="B89:D89"/>
    <mergeCell ref="C91:Z91"/>
    <mergeCell ref="B93:D93"/>
    <mergeCell ref="C83:Z83"/>
    <mergeCell ref="B85:D85"/>
    <mergeCell ref="C86:Z86"/>
    <mergeCell ref="B78:D78"/>
    <mergeCell ref="C79:Z79"/>
    <mergeCell ref="C80:Z80"/>
    <mergeCell ref="B82:D82"/>
    <mergeCell ref="B74:D74"/>
    <mergeCell ref="C75:Z75"/>
    <mergeCell ref="B77:D77"/>
    <mergeCell ref="C59:Z59"/>
    <mergeCell ref="C69:Z69"/>
    <mergeCell ref="B55:D55"/>
    <mergeCell ref="B56:D56"/>
    <mergeCell ref="C57:Z57"/>
    <mergeCell ref="C58:Z58"/>
    <mergeCell ref="B51:D51"/>
    <mergeCell ref="C52:Z52"/>
    <mergeCell ref="B54:D54"/>
    <mergeCell ref="C46:Z46"/>
    <mergeCell ref="B48:D48"/>
    <mergeCell ref="C49:Z49"/>
    <mergeCell ref="B42:D42"/>
    <mergeCell ref="C43:Z43"/>
    <mergeCell ref="B45:D45"/>
    <mergeCell ref="B37:D37"/>
    <mergeCell ref="B38:D38"/>
    <mergeCell ref="C39:Z39"/>
    <mergeCell ref="C40:Z40"/>
    <mergeCell ref="C32:Z32"/>
    <mergeCell ref="B34:D34"/>
    <mergeCell ref="C35:Z35"/>
    <mergeCell ref="C27:Z27"/>
    <mergeCell ref="C28:Z28"/>
    <mergeCell ref="C29:Z29"/>
    <mergeCell ref="B31:D31"/>
    <mergeCell ref="F24:F25"/>
    <mergeCell ref="G24:G25"/>
    <mergeCell ref="H24:H25"/>
    <mergeCell ref="I24:J24"/>
    <mergeCell ref="K24:K25"/>
    <mergeCell ref="W22:W25"/>
    <mergeCell ref="X22:X25"/>
    <mergeCell ref="Y22:Y25"/>
    <mergeCell ref="Z22:Z25"/>
    <mergeCell ref="E23:E25"/>
    <mergeCell ref="F23:K23"/>
    <mergeCell ref="L23:L25"/>
    <mergeCell ref="M23:M25"/>
    <mergeCell ref="N23:N25"/>
    <mergeCell ref="O23:U24"/>
    <mergeCell ref="B19:Z19"/>
    <mergeCell ref="B20:Z20"/>
    <mergeCell ref="B21:Z21"/>
    <mergeCell ref="B22:B25"/>
    <mergeCell ref="C22:C25"/>
    <mergeCell ref="D22:D25"/>
    <mergeCell ref="E22:K22"/>
    <mergeCell ref="L22:M22"/>
    <mergeCell ref="N22:U22"/>
    <mergeCell ref="V22:V25"/>
    <mergeCell ref="B14:M14"/>
    <mergeCell ref="N14:Z14"/>
    <mergeCell ref="B15:M15"/>
    <mergeCell ref="N15:Z15"/>
    <mergeCell ref="N16:Z16"/>
    <mergeCell ref="B18:Z18"/>
    <mergeCell ref="B11:M11"/>
    <mergeCell ref="N11:Z11"/>
    <mergeCell ref="B12:M12"/>
    <mergeCell ref="N12:Z12"/>
    <mergeCell ref="B13:M13"/>
    <mergeCell ref="N13:Z13"/>
    <mergeCell ref="B8:M8"/>
    <mergeCell ref="N8:Z8"/>
    <mergeCell ref="B9:M9"/>
    <mergeCell ref="N9:Z9"/>
    <mergeCell ref="B10:M10"/>
    <mergeCell ref="N10:Z10"/>
    <mergeCell ref="B3:M7"/>
    <mergeCell ref="N3:Z3"/>
    <mergeCell ref="N4:Z4"/>
    <mergeCell ref="N5:Z5"/>
    <mergeCell ref="N6:Z6"/>
    <mergeCell ref="N7:Z7"/>
  </mergeCells>
  <hyperlinks>
    <hyperlink ref="C28" r:id="rId1" display="https://zakon.rada.gov.ua/laws/show/2755-17"/>
    <hyperlink ref="C39" r:id="rId2" display="https://zakon.rada.gov.ua/laws/show/2755-17"/>
    <hyperlink ref="C58" r:id="rId3" display="https://zakon.rada.gov.ua/laws/show/2755-17"/>
    <hyperlink ref="C79" r:id="rId4" display="https://zakon.rada.gov.ua/laws/show/2755-17"/>
    <hyperlink ref="C100" r:id="rId5" display="https://zakon.rada.gov.ua/laws/show/2755-17"/>
    <hyperlink ref="C111" r:id="rId6" display="https://zakon.rada.gov.ua/laws/show/2755-17"/>
  </hyperlinks>
  <printOptions horizontalCentered="1" verticalCentered="1"/>
  <pageMargins left="0" right="0" top="0" bottom="0" header="0.31496062992125984" footer="0.31496062992125984"/>
  <pageSetup paperSize="8" scale="56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4"/>
  <sheetViews>
    <sheetView topLeftCell="F1" workbookViewId="0">
      <selection activeCell="Y1" sqref="Y1:Y2"/>
    </sheetView>
  </sheetViews>
  <sheetFormatPr defaultRowHeight="12.75" outlineLevelRow="1" x14ac:dyDescent="0.2"/>
  <cols>
    <col min="1" max="1" width="10.85546875" style="39" customWidth="1"/>
    <col min="2" max="2" width="55.85546875" style="39" customWidth="1"/>
    <col min="3" max="3" width="12" style="31" customWidth="1"/>
    <col min="4" max="4" width="9.7109375" style="31" customWidth="1"/>
    <col min="5" max="5" width="15.42578125" style="31" customWidth="1"/>
    <col min="6" max="6" width="11.42578125" style="31" customWidth="1"/>
    <col min="7" max="7" width="12.5703125" style="31" customWidth="1"/>
    <col min="8" max="8" width="10.28515625" style="31" customWidth="1"/>
    <col min="9" max="9" width="11.7109375" style="31" customWidth="1"/>
    <col min="10" max="10" width="11.42578125" style="31" customWidth="1"/>
    <col min="11" max="11" width="11.28515625" style="31" customWidth="1"/>
    <col min="12" max="12" width="13.42578125" style="31" customWidth="1"/>
    <col min="13" max="13" width="13.28515625" style="31" customWidth="1"/>
    <col min="14" max="14" width="13.140625" style="31" customWidth="1"/>
    <col min="15" max="15" width="14.140625" style="31" customWidth="1"/>
    <col min="16" max="16" width="7.7109375" style="31" customWidth="1"/>
    <col min="17" max="17" width="6" style="31" customWidth="1"/>
    <col min="18" max="18" width="6.28515625" style="31" customWidth="1"/>
    <col min="19" max="19" width="7.140625" style="31" customWidth="1"/>
    <col min="20" max="21" width="6.140625" style="31" customWidth="1"/>
    <col min="22" max="22" width="5.140625" style="31" customWidth="1"/>
    <col min="23" max="24" width="6.140625" style="31" customWidth="1"/>
    <col min="25" max="25" width="5" style="31" customWidth="1"/>
    <col min="26" max="30" width="9.140625" style="30" customWidth="1"/>
    <col min="31" max="257" width="9.140625" style="31"/>
    <col min="258" max="258" width="10.85546875" style="31" customWidth="1"/>
    <col min="259" max="259" width="15.42578125" style="31" customWidth="1"/>
    <col min="260" max="260" width="12" style="31" customWidth="1"/>
    <col min="261" max="261" width="9.7109375" style="31" customWidth="1"/>
    <col min="262" max="262" width="8.42578125" style="31" customWidth="1"/>
    <col min="263" max="263" width="11.42578125" style="31" customWidth="1"/>
    <col min="264" max="264" width="10.28515625" style="31" customWidth="1"/>
    <col min="265" max="265" width="11.7109375" style="31" customWidth="1"/>
    <col min="266" max="266" width="11.42578125" style="31" customWidth="1"/>
    <col min="267" max="267" width="11.28515625" style="31" customWidth="1"/>
    <col min="268" max="268" width="13.42578125" style="31" customWidth="1"/>
    <col min="269" max="269" width="13.28515625" style="31" customWidth="1"/>
    <col min="270" max="270" width="13.140625" style="31" customWidth="1"/>
    <col min="271" max="271" width="14.140625" style="31" customWidth="1"/>
    <col min="272" max="272" width="6.85546875" style="31" customWidth="1"/>
    <col min="273" max="273" width="6" style="31" customWidth="1"/>
    <col min="274" max="274" width="6.28515625" style="31" customWidth="1"/>
    <col min="275" max="276" width="6.140625" style="31" customWidth="1"/>
    <col min="277" max="277" width="4.42578125" style="31" customWidth="1"/>
    <col min="278" max="278" width="5.140625" style="31" customWidth="1"/>
    <col min="279" max="280" width="6.140625" style="31" customWidth="1"/>
    <col min="281" max="281" width="5" style="31" customWidth="1"/>
    <col min="282" max="286" width="9.140625" style="31" customWidth="1"/>
    <col min="287" max="513" width="9.140625" style="31"/>
    <col min="514" max="514" width="10.85546875" style="31" customWidth="1"/>
    <col min="515" max="515" width="15.42578125" style="31" customWidth="1"/>
    <col min="516" max="516" width="12" style="31" customWidth="1"/>
    <col min="517" max="517" width="9.7109375" style="31" customWidth="1"/>
    <col min="518" max="518" width="8.42578125" style="31" customWidth="1"/>
    <col min="519" max="519" width="11.42578125" style="31" customWidth="1"/>
    <col min="520" max="520" width="10.28515625" style="31" customWidth="1"/>
    <col min="521" max="521" width="11.7109375" style="31" customWidth="1"/>
    <col min="522" max="522" width="11.42578125" style="31" customWidth="1"/>
    <col min="523" max="523" width="11.28515625" style="31" customWidth="1"/>
    <col min="524" max="524" width="13.42578125" style="31" customWidth="1"/>
    <col min="525" max="525" width="13.28515625" style="31" customWidth="1"/>
    <col min="526" max="526" width="13.140625" style="31" customWidth="1"/>
    <col min="527" max="527" width="14.140625" style="31" customWidth="1"/>
    <col min="528" max="528" width="6.85546875" style="31" customWidth="1"/>
    <col min="529" max="529" width="6" style="31" customWidth="1"/>
    <col min="530" max="530" width="6.28515625" style="31" customWidth="1"/>
    <col min="531" max="532" width="6.140625" style="31" customWidth="1"/>
    <col min="533" max="533" width="4.42578125" style="31" customWidth="1"/>
    <col min="534" max="534" width="5.140625" style="31" customWidth="1"/>
    <col min="535" max="536" width="6.140625" style="31" customWidth="1"/>
    <col min="537" max="537" width="5" style="31" customWidth="1"/>
    <col min="538" max="542" width="9.140625" style="31" customWidth="1"/>
    <col min="543" max="769" width="9.140625" style="31"/>
    <col min="770" max="770" width="10.85546875" style="31" customWidth="1"/>
    <col min="771" max="771" width="15.42578125" style="31" customWidth="1"/>
    <col min="772" max="772" width="12" style="31" customWidth="1"/>
    <col min="773" max="773" width="9.7109375" style="31" customWidth="1"/>
    <col min="774" max="774" width="8.42578125" style="31" customWidth="1"/>
    <col min="775" max="775" width="11.42578125" style="31" customWidth="1"/>
    <col min="776" max="776" width="10.28515625" style="31" customWidth="1"/>
    <col min="777" max="777" width="11.7109375" style="31" customWidth="1"/>
    <col min="778" max="778" width="11.42578125" style="31" customWidth="1"/>
    <col min="779" max="779" width="11.28515625" style="31" customWidth="1"/>
    <col min="780" max="780" width="13.42578125" style="31" customWidth="1"/>
    <col min="781" max="781" width="13.28515625" style="31" customWidth="1"/>
    <col min="782" max="782" width="13.140625" style="31" customWidth="1"/>
    <col min="783" max="783" width="14.140625" style="31" customWidth="1"/>
    <col min="784" max="784" width="6.85546875" style="31" customWidth="1"/>
    <col min="785" max="785" width="6" style="31" customWidth="1"/>
    <col min="786" max="786" width="6.28515625" style="31" customWidth="1"/>
    <col min="787" max="788" width="6.140625" style="31" customWidth="1"/>
    <col min="789" max="789" width="4.42578125" style="31" customWidth="1"/>
    <col min="790" max="790" width="5.140625" style="31" customWidth="1"/>
    <col min="791" max="792" width="6.140625" style="31" customWidth="1"/>
    <col min="793" max="793" width="5" style="31" customWidth="1"/>
    <col min="794" max="798" width="9.140625" style="31" customWidth="1"/>
    <col min="799" max="1025" width="9.140625" style="31"/>
    <col min="1026" max="1026" width="10.85546875" style="31" customWidth="1"/>
    <col min="1027" max="1027" width="15.42578125" style="31" customWidth="1"/>
    <col min="1028" max="1028" width="12" style="31" customWidth="1"/>
    <col min="1029" max="1029" width="9.7109375" style="31" customWidth="1"/>
    <col min="1030" max="1030" width="8.42578125" style="31" customWidth="1"/>
    <col min="1031" max="1031" width="11.42578125" style="31" customWidth="1"/>
    <col min="1032" max="1032" width="10.28515625" style="31" customWidth="1"/>
    <col min="1033" max="1033" width="11.7109375" style="31" customWidth="1"/>
    <col min="1034" max="1034" width="11.42578125" style="31" customWidth="1"/>
    <col min="1035" max="1035" width="11.28515625" style="31" customWidth="1"/>
    <col min="1036" max="1036" width="13.42578125" style="31" customWidth="1"/>
    <col min="1037" max="1037" width="13.28515625" style="31" customWidth="1"/>
    <col min="1038" max="1038" width="13.140625" style="31" customWidth="1"/>
    <col min="1039" max="1039" width="14.140625" style="31" customWidth="1"/>
    <col min="1040" max="1040" width="6.85546875" style="31" customWidth="1"/>
    <col min="1041" max="1041" width="6" style="31" customWidth="1"/>
    <col min="1042" max="1042" width="6.28515625" style="31" customWidth="1"/>
    <col min="1043" max="1044" width="6.140625" style="31" customWidth="1"/>
    <col min="1045" max="1045" width="4.42578125" style="31" customWidth="1"/>
    <col min="1046" max="1046" width="5.140625" style="31" customWidth="1"/>
    <col min="1047" max="1048" width="6.140625" style="31" customWidth="1"/>
    <col min="1049" max="1049" width="5" style="31" customWidth="1"/>
    <col min="1050" max="1054" width="9.140625" style="31" customWidth="1"/>
    <col min="1055" max="1281" width="9.140625" style="31"/>
    <col min="1282" max="1282" width="10.85546875" style="31" customWidth="1"/>
    <col min="1283" max="1283" width="15.42578125" style="31" customWidth="1"/>
    <col min="1284" max="1284" width="12" style="31" customWidth="1"/>
    <col min="1285" max="1285" width="9.7109375" style="31" customWidth="1"/>
    <col min="1286" max="1286" width="8.42578125" style="31" customWidth="1"/>
    <col min="1287" max="1287" width="11.42578125" style="31" customWidth="1"/>
    <col min="1288" max="1288" width="10.28515625" style="31" customWidth="1"/>
    <col min="1289" max="1289" width="11.7109375" style="31" customWidth="1"/>
    <col min="1290" max="1290" width="11.42578125" style="31" customWidth="1"/>
    <col min="1291" max="1291" width="11.28515625" style="31" customWidth="1"/>
    <col min="1292" max="1292" width="13.42578125" style="31" customWidth="1"/>
    <col min="1293" max="1293" width="13.28515625" style="31" customWidth="1"/>
    <col min="1294" max="1294" width="13.140625" style="31" customWidth="1"/>
    <col min="1295" max="1295" width="14.140625" style="31" customWidth="1"/>
    <col min="1296" max="1296" width="6.85546875" style="31" customWidth="1"/>
    <col min="1297" max="1297" width="6" style="31" customWidth="1"/>
    <col min="1298" max="1298" width="6.28515625" style="31" customWidth="1"/>
    <col min="1299" max="1300" width="6.140625" style="31" customWidth="1"/>
    <col min="1301" max="1301" width="4.42578125" style="31" customWidth="1"/>
    <col min="1302" max="1302" width="5.140625" style="31" customWidth="1"/>
    <col min="1303" max="1304" width="6.140625" style="31" customWidth="1"/>
    <col min="1305" max="1305" width="5" style="31" customWidth="1"/>
    <col min="1306" max="1310" width="9.140625" style="31" customWidth="1"/>
    <col min="1311" max="1537" width="9.140625" style="31"/>
    <col min="1538" max="1538" width="10.85546875" style="31" customWidth="1"/>
    <col min="1539" max="1539" width="15.42578125" style="31" customWidth="1"/>
    <col min="1540" max="1540" width="12" style="31" customWidth="1"/>
    <col min="1541" max="1541" width="9.7109375" style="31" customWidth="1"/>
    <col min="1542" max="1542" width="8.42578125" style="31" customWidth="1"/>
    <col min="1543" max="1543" width="11.42578125" style="31" customWidth="1"/>
    <col min="1544" max="1544" width="10.28515625" style="31" customWidth="1"/>
    <col min="1545" max="1545" width="11.7109375" style="31" customWidth="1"/>
    <col min="1546" max="1546" width="11.42578125" style="31" customWidth="1"/>
    <col min="1547" max="1547" width="11.28515625" style="31" customWidth="1"/>
    <col min="1548" max="1548" width="13.42578125" style="31" customWidth="1"/>
    <col min="1549" max="1549" width="13.28515625" style="31" customWidth="1"/>
    <col min="1550" max="1550" width="13.140625" style="31" customWidth="1"/>
    <col min="1551" max="1551" width="14.140625" style="31" customWidth="1"/>
    <col min="1552" max="1552" width="6.85546875" style="31" customWidth="1"/>
    <col min="1553" max="1553" width="6" style="31" customWidth="1"/>
    <col min="1554" max="1554" width="6.28515625" style="31" customWidth="1"/>
    <col min="1555" max="1556" width="6.140625" style="31" customWidth="1"/>
    <col min="1557" max="1557" width="4.42578125" style="31" customWidth="1"/>
    <col min="1558" max="1558" width="5.140625" style="31" customWidth="1"/>
    <col min="1559" max="1560" width="6.140625" style="31" customWidth="1"/>
    <col min="1561" max="1561" width="5" style="31" customWidth="1"/>
    <col min="1562" max="1566" width="9.140625" style="31" customWidth="1"/>
    <col min="1567" max="1793" width="9.140625" style="31"/>
    <col min="1794" max="1794" width="10.85546875" style="31" customWidth="1"/>
    <col min="1795" max="1795" width="15.42578125" style="31" customWidth="1"/>
    <col min="1796" max="1796" width="12" style="31" customWidth="1"/>
    <col min="1797" max="1797" width="9.7109375" style="31" customWidth="1"/>
    <col min="1798" max="1798" width="8.42578125" style="31" customWidth="1"/>
    <col min="1799" max="1799" width="11.42578125" style="31" customWidth="1"/>
    <col min="1800" max="1800" width="10.28515625" style="31" customWidth="1"/>
    <col min="1801" max="1801" width="11.7109375" style="31" customWidth="1"/>
    <col min="1802" max="1802" width="11.42578125" style="31" customWidth="1"/>
    <col min="1803" max="1803" width="11.28515625" style="31" customWidth="1"/>
    <col min="1804" max="1804" width="13.42578125" style="31" customWidth="1"/>
    <col min="1805" max="1805" width="13.28515625" style="31" customWidth="1"/>
    <col min="1806" max="1806" width="13.140625" style="31" customWidth="1"/>
    <col min="1807" max="1807" width="14.140625" style="31" customWidth="1"/>
    <col min="1808" max="1808" width="6.85546875" style="31" customWidth="1"/>
    <col min="1809" max="1809" width="6" style="31" customWidth="1"/>
    <col min="1810" max="1810" width="6.28515625" style="31" customWidth="1"/>
    <col min="1811" max="1812" width="6.140625" style="31" customWidth="1"/>
    <col min="1813" max="1813" width="4.42578125" style="31" customWidth="1"/>
    <col min="1814" max="1814" width="5.140625" style="31" customWidth="1"/>
    <col min="1815" max="1816" width="6.140625" style="31" customWidth="1"/>
    <col min="1817" max="1817" width="5" style="31" customWidth="1"/>
    <col min="1818" max="1822" width="9.140625" style="31" customWidth="1"/>
    <col min="1823" max="2049" width="9.140625" style="31"/>
    <col min="2050" max="2050" width="10.85546875" style="31" customWidth="1"/>
    <col min="2051" max="2051" width="15.42578125" style="31" customWidth="1"/>
    <col min="2052" max="2052" width="12" style="31" customWidth="1"/>
    <col min="2053" max="2053" width="9.7109375" style="31" customWidth="1"/>
    <col min="2054" max="2054" width="8.42578125" style="31" customWidth="1"/>
    <col min="2055" max="2055" width="11.42578125" style="31" customWidth="1"/>
    <col min="2056" max="2056" width="10.28515625" style="31" customWidth="1"/>
    <col min="2057" max="2057" width="11.7109375" style="31" customWidth="1"/>
    <col min="2058" max="2058" width="11.42578125" style="31" customWidth="1"/>
    <col min="2059" max="2059" width="11.28515625" style="31" customWidth="1"/>
    <col min="2060" max="2060" width="13.42578125" style="31" customWidth="1"/>
    <col min="2061" max="2061" width="13.28515625" style="31" customWidth="1"/>
    <col min="2062" max="2062" width="13.140625" style="31" customWidth="1"/>
    <col min="2063" max="2063" width="14.140625" style="31" customWidth="1"/>
    <col min="2064" max="2064" width="6.85546875" style="31" customWidth="1"/>
    <col min="2065" max="2065" width="6" style="31" customWidth="1"/>
    <col min="2066" max="2066" width="6.28515625" style="31" customWidth="1"/>
    <col min="2067" max="2068" width="6.140625" style="31" customWidth="1"/>
    <col min="2069" max="2069" width="4.42578125" style="31" customWidth="1"/>
    <col min="2070" max="2070" width="5.140625" style="31" customWidth="1"/>
    <col min="2071" max="2072" width="6.140625" style="31" customWidth="1"/>
    <col min="2073" max="2073" width="5" style="31" customWidth="1"/>
    <col min="2074" max="2078" width="9.140625" style="31" customWidth="1"/>
    <col min="2079" max="2305" width="9.140625" style="31"/>
    <col min="2306" max="2306" width="10.85546875" style="31" customWidth="1"/>
    <col min="2307" max="2307" width="15.42578125" style="31" customWidth="1"/>
    <col min="2308" max="2308" width="12" style="31" customWidth="1"/>
    <col min="2309" max="2309" width="9.7109375" style="31" customWidth="1"/>
    <col min="2310" max="2310" width="8.42578125" style="31" customWidth="1"/>
    <col min="2311" max="2311" width="11.42578125" style="31" customWidth="1"/>
    <col min="2312" max="2312" width="10.28515625" style="31" customWidth="1"/>
    <col min="2313" max="2313" width="11.7109375" style="31" customWidth="1"/>
    <col min="2314" max="2314" width="11.42578125" style="31" customWidth="1"/>
    <col min="2315" max="2315" width="11.28515625" style="31" customWidth="1"/>
    <col min="2316" max="2316" width="13.42578125" style="31" customWidth="1"/>
    <col min="2317" max="2317" width="13.28515625" style="31" customWidth="1"/>
    <col min="2318" max="2318" width="13.140625" style="31" customWidth="1"/>
    <col min="2319" max="2319" width="14.140625" style="31" customWidth="1"/>
    <col min="2320" max="2320" width="6.85546875" style="31" customWidth="1"/>
    <col min="2321" max="2321" width="6" style="31" customWidth="1"/>
    <col min="2322" max="2322" width="6.28515625" style="31" customWidth="1"/>
    <col min="2323" max="2324" width="6.140625" style="31" customWidth="1"/>
    <col min="2325" max="2325" width="4.42578125" style="31" customWidth="1"/>
    <col min="2326" max="2326" width="5.140625" style="31" customWidth="1"/>
    <col min="2327" max="2328" width="6.140625" style="31" customWidth="1"/>
    <col min="2329" max="2329" width="5" style="31" customWidth="1"/>
    <col min="2330" max="2334" width="9.140625" style="31" customWidth="1"/>
    <col min="2335" max="2561" width="9.140625" style="31"/>
    <col min="2562" max="2562" width="10.85546875" style="31" customWidth="1"/>
    <col min="2563" max="2563" width="15.42578125" style="31" customWidth="1"/>
    <col min="2564" max="2564" width="12" style="31" customWidth="1"/>
    <col min="2565" max="2565" width="9.7109375" style="31" customWidth="1"/>
    <col min="2566" max="2566" width="8.42578125" style="31" customWidth="1"/>
    <col min="2567" max="2567" width="11.42578125" style="31" customWidth="1"/>
    <col min="2568" max="2568" width="10.28515625" style="31" customWidth="1"/>
    <col min="2569" max="2569" width="11.7109375" style="31" customWidth="1"/>
    <col min="2570" max="2570" width="11.42578125" style="31" customWidth="1"/>
    <col min="2571" max="2571" width="11.28515625" style="31" customWidth="1"/>
    <col min="2572" max="2572" width="13.42578125" style="31" customWidth="1"/>
    <col min="2573" max="2573" width="13.28515625" style="31" customWidth="1"/>
    <col min="2574" max="2574" width="13.140625" style="31" customWidth="1"/>
    <col min="2575" max="2575" width="14.140625" style="31" customWidth="1"/>
    <col min="2576" max="2576" width="6.85546875" style="31" customWidth="1"/>
    <col min="2577" max="2577" width="6" style="31" customWidth="1"/>
    <col min="2578" max="2578" width="6.28515625" style="31" customWidth="1"/>
    <col min="2579" max="2580" width="6.140625" style="31" customWidth="1"/>
    <col min="2581" max="2581" width="4.42578125" style="31" customWidth="1"/>
    <col min="2582" max="2582" width="5.140625" style="31" customWidth="1"/>
    <col min="2583" max="2584" width="6.140625" style="31" customWidth="1"/>
    <col min="2585" max="2585" width="5" style="31" customWidth="1"/>
    <col min="2586" max="2590" width="9.140625" style="31" customWidth="1"/>
    <col min="2591" max="2817" width="9.140625" style="31"/>
    <col min="2818" max="2818" width="10.85546875" style="31" customWidth="1"/>
    <col min="2819" max="2819" width="15.42578125" style="31" customWidth="1"/>
    <col min="2820" max="2820" width="12" style="31" customWidth="1"/>
    <col min="2821" max="2821" width="9.7109375" style="31" customWidth="1"/>
    <col min="2822" max="2822" width="8.42578125" style="31" customWidth="1"/>
    <col min="2823" max="2823" width="11.42578125" style="31" customWidth="1"/>
    <col min="2824" max="2824" width="10.28515625" style="31" customWidth="1"/>
    <col min="2825" max="2825" width="11.7109375" style="31" customWidth="1"/>
    <col min="2826" max="2826" width="11.42578125" style="31" customWidth="1"/>
    <col min="2827" max="2827" width="11.28515625" style="31" customWidth="1"/>
    <col min="2828" max="2828" width="13.42578125" style="31" customWidth="1"/>
    <col min="2829" max="2829" width="13.28515625" style="31" customWidth="1"/>
    <col min="2830" max="2830" width="13.140625" style="31" customWidth="1"/>
    <col min="2831" max="2831" width="14.140625" style="31" customWidth="1"/>
    <col min="2832" max="2832" width="6.85546875" style="31" customWidth="1"/>
    <col min="2833" max="2833" width="6" style="31" customWidth="1"/>
    <col min="2834" max="2834" width="6.28515625" style="31" customWidth="1"/>
    <col min="2835" max="2836" width="6.140625" style="31" customWidth="1"/>
    <col min="2837" max="2837" width="4.42578125" style="31" customWidth="1"/>
    <col min="2838" max="2838" width="5.140625" style="31" customWidth="1"/>
    <col min="2839" max="2840" width="6.140625" style="31" customWidth="1"/>
    <col min="2841" max="2841" width="5" style="31" customWidth="1"/>
    <col min="2842" max="2846" width="9.140625" style="31" customWidth="1"/>
    <col min="2847" max="3073" width="9.140625" style="31"/>
    <col min="3074" max="3074" width="10.85546875" style="31" customWidth="1"/>
    <col min="3075" max="3075" width="15.42578125" style="31" customWidth="1"/>
    <col min="3076" max="3076" width="12" style="31" customWidth="1"/>
    <col min="3077" max="3077" width="9.7109375" style="31" customWidth="1"/>
    <col min="3078" max="3078" width="8.42578125" style="31" customWidth="1"/>
    <col min="3079" max="3079" width="11.42578125" style="31" customWidth="1"/>
    <col min="3080" max="3080" width="10.28515625" style="31" customWidth="1"/>
    <col min="3081" max="3081" width="11.7109375" style="31" customWidth="1"/>
    <col min="3082" max="3082" width="11.42578125" style="31" customWidth="1"/>
    <col min="3083" max="3083" width="11.28515625" style="31" customWidth="1"/>
    <col min="3084" max="3084" width="13.42578125" style="31" customWidth="1"/>
    <col min="3085" max="3085" width="13.28515625" style="31" customWidth="1"/>
    <col min="3086" max="3086" width="13.140625" style="31" customWidth="1"/>
    <col min="3087" max="3087" width="14.140625" style="31" customWidth="1"/>
    <col min="3088" max="3088" width="6.85546875" style="31" customWidth="1"/>
    <col min="3089" max="3089" width="6" style="31" customWidth="1"/>
    <col min="3090" max="3090" width="6.28515625" style="31" customWidth="1"/>
    <col min="3091" max="3092" width="6.140625" style="31" customWidth="1"/>
    <col min="3093" max="3093" width="4.42578125" style="31" customWidth="1"/>
    <col min="3094" max="3094" width="5.140625" style="31" customWidth="1"/>
    <col min="3095" max="3096" width="6.140625" style="31" customWidth="1"/>
    <col min="3097" max="3097" width="5" style="31" customWidth="1"/>
    <col min="3098" max="3102" width="9.140625" style="31" customWidth="1"/>
    <col min="3103" max="3329" width="9.140625" style="31"/>
    <col min="3330" max="3330" width="10.85546875" style="31" customWidth="1"/>
    <col min="3331" max="3331" width="15.42578125" style="31" customWidth="1"/>
    <col min="3332" max="3332" width="12" style="31" customWidth="1"/>
    <col min="3333" max="3333" width="9.7109375" style="31" customWidth="1"/>
    <col min="3334" max="3334" width="8.42578125" style="31" customWidth="1"/>
    <col min="3335" max="3335" width="11.42578125" style="31" customWidth="1"/>
    <col min="3336" max="3336" width="10.28515625" style="31" customWidth="1"/>
    <col min="3337" max="3337" width="11.7109375" style="31" customWidth="1"/>
    <col min="3338" max="3338" width="11.42578125" style="31" customWidth="1"/>
    <col min="3339" max="3339" width="11.28515625" style="31" customWidth="1"/>
    <col min="3340" max="3340" width="13.42578125" style="31" customWidth="1"/>
    <col min="3341" max="3341" width="13.28515625" style="31" customWidth="1"/>
    <col min="3342" max="3342" width="13.140625" style="31" customWidth="1"/>
    <col min="3343" max="3343" width="14.140625" style="31" customWidth="1"/>
    <col min="3344" max="3344" width="6.85546875" style="31" customWidth="1"/>
    <col min="3345" max="3345" width="6" style="31" customWidth="1"/>
    <col min="3346" max="3346" width="6.28515625" style="31" customWidth="1"/>
    <col min="3347" max="3348" width="6.140625" style="31" customWidth="1"/>
    <col min="3349" max="3349" width="4.42578125" style="31" customWidth="1"/>
    <col min="3350" max="3350" width="5.140625" style="31" customWidth="1"/>
    <col min="3351" max="3352" width="6.140625" style="31" customWidth="1"/>
    <col min="3353" max="3353" width="5" style="31" customWidth="1"/>
    <col min="3354" max="3358" width="9.140625" style="31" customWidth="1"/>
    <col min="3359" max="3585" width="9.140625" style="31"/>
    <col min="3586" max="3586" width="10.85546875" style="31" customWidth="1"/>
    <col min="3587" max="3587" width="15.42578125" style="31" customWidth="1"/>
    <col min="3588" max="3588" width="12" style="31" customWidth="1"/>
    <col min="3589" max="3589" width="9.7109375" style="31" customWidth="1"/>
    <col min="3590" max="3590" width="8.42578125" style="31" customWidth="1"/>
    <col min="3591" max="3591" width="11.42578125" style="31" customWidth="1"/>
    <col min="3592" max="3592" width="10.28515625" style="31" customWidth="1"/>
    <col min="3593" max="3593" width="11.7109375" style="31" customWidth="1"/>
    <col min="3594" max="3594" width="11.42578125" style="31" customWidth="1"/>
    <col min="3595" max="3595" width="11.28515625" style="31" customWidth="1"/>
    <col min="3596" max="3596" width="13.42578125" style="31" customWidth="1"/>
    <col min="3597" max="3597" width="13.28515625" style="31" customWidth="1"/>
    <col min="3598" max="3598" width="13.140625" style="31" customWidth="1"/>
    <col min="3599" max="3599" width="14.140625" style="31" customWidth="1"/>
    <col min="3600" max="3600" width="6.85546875" style="31" customWidth="1"/>
    <col min="3601" max="3601" width="6" style="31" customWidth="1"/>
    <col min="3602" max="3602" width="6.28515625" style="31" customWidth="1"/>
    <col min="3603" max="3604" width="6.140625" style="31" customWidth="1"/>
    <col min="3605" max="3605" width="4.42578125" style="31" customWidth="1"/>
    <col min="3606" max="3606" width="5.140625" style="31" customWidth="1"/>
    <col min="3607" max="3608" width="6.140625" style="31" customWidth="1"/>
    <col min="3609" max="3609" width="5" style="31" customWidth="1"/>
    <col min="3610" max="3614" width="9.140625" style="31" customWidth="1"/>
    <col min="3615" max="3841" width="9.140625" style="31"/>
    <col min="3842" max="3842" width="10.85546875" style="31" customWidth="1"/>
    <col min="3843" max="3843" width="15.42578125" style="31" customWidth="1"/>
    <col min="3844" max="3844" width="12" style="31" customWidth="1"/>
    <col min="3845" max="3845" width="9.7109375" style="31" customWidth="1"/>
    <col min="3846" max="3846" width="8.42578125" style="31" customWidth="1"/>
    <col min="3847" max="3847" width="11.42578125" style="31" customWidth="1"/>
    <col min="3848" max="3848" width="10.28515625" style="31" customWidth="1"/>
    <col min="3849" max="3849" width="11.7109375" style="31" customWidth="1"/>
    <col min="3850" max="3850" width="11.42578125" style="31" customWidth="1"/>
    <col min="3851" max="3851" width="11.28515625" style="31" customWidth="1"/>
    <col min="3852" max="3852" width="13.42578125" style="31" customWidth="1"/>
    <col min="3853" max="3853" width="13.28515625" style="31" customWidth="1"/>
    <col min="3854" max="3854" width="13.140625" style="31" customWidth="1"/>
    <col min="3855" max="3855" width="14.140625" style="31" customWidth="1"/>
    <col min="3856" max="3856" width="6.85546875" style="31" customWidth="1"/>
    <col min="3857" max="3857" width="6" style="31" customWidth="1"/>
    <col min="3858" max="3858" width="6.28515625" style="31" customWidth="1"/>
    <col min="3859" max="3860" width="6.140625" style="31" customWidth="1"/>
    <col min="3861" max="3861" width="4.42578125" style="31" customWidth="1"/>
    <col min="3862" max="3862" width="5.140625" style="31" customWidth="1"/>
    <col min="3863" max="3864" width="6.140625" style="31" customWidth="1"/>
    <col min="3865" max="3865" width="5" style="31" customWidth="1"/>
    <col min="3866" max="3870" width="9.140625" style="31" customWidth="1"/>
    <col min="3871" max="4097" width="9.140625" style="31"/>
    <col min="4098" max="4098" width="10.85546875" style="31" customWidth="1"/>
    <col min="4099" max="4099" width="15.42578125" style="31" customWidth="1"/>
    <col min="4100" max="4100" width="12" style="31" customWidth="1"/>
    <col min="4101" max="4101" width="9.7109375" style="31" customWidth="1"/>
    <col min="4102" max="4102" width="8.42578125" style="31" customWidth="1"/>
    <col min="4103" max="4103" width="11.42578125" style="31" customWidth="1"/>
    <col min="4104" max="4104" width="10.28515625" style="31" customWidth="1"/>
    <col min="4105" max="4105" width="11.7109375" style="31" customWidth="1"/>
    <col min="4106" max="4106" width="11.42578125" style="31" customWidth="1"/>
    <col min="4107" max="4107" width="11.28515625" style="31" customWidth="1"/>
    <col min="4108" max="4108" width="13.42578125" style="31" customWidth="1"/>
    <col min="4109" max="4109" width="13.28515625" style="31" customWidth="1"/>
    <col min="4110" max="4110" width="13.140625" style="31" customWidth="1"/>
    <col min="4111" max="4111" width="14.140625" style="31" customWidth="1"/>
    <col min="4112" max="4112" width="6.85546875" style="31" customWidth="1"/>
    <col min="4113" max="4113" width="6" style="31" customWidth="1"/>
    <col min="4114" max="4114" width="6.28515625" style="31" customWidth="1"/>
    <col min="4115" max="4116" width="6.140625" style="31" customWidth="1"/>
    <col min="4117" max="4117" width="4.42578125" style="31" customWidth="1"/>
    <col min="4118" max="4118" width="5.140625" style="31" customWidth="1"/>
    <col min="4119" max="4120" width="6.140625" style="31" customWidth="1"/>
    <col min="4121" max="4121" width="5" style="31" customWidth="1"/>
    <col min="4122" max="4126" width="9.140625" style="31" customWidth="1"/>
    <col min="4127" max="4353" width="9.140625" style="31"/>
    <col min="4354" max="4354" width="10.85546875" style="31" customWidth="1"/>
    <col min="4355" max="4355" width="15.42578125" style="31" customWidth="1"/>
    <col min="4356" max="4356" width="12" style="31" customWidth="1"/>
    <col min="4357" max="4357" width="9.7109375" style="31" customWidth="1"/>
    <col min="4358" max="4358" width="8.42578125" style="31" customWidth="1"/>
    <col min="4359" max="4359" width="11.42578125" style="31" customWidth="1"/>
    <col min="4360" max="4360" width="10.28515625" style="31" customWidth="1"/>
    <col min="4361" max="4361" width="11.7109375" style="31" customWidth="1"/>
    <col min="4362" max="4362" width="11.42578125" style="31" customWidth="1"/>
    <col min="4363" max="4363" width="11.28515625" style="31" customWidth="1"/>
    <col min="4364" max="4364" width="13.42578125" style="31" customWidth="1"/>
    <col min="4365" max="4365" width="13.28515625" style="31" customWidth="1"/>
    <col min="4366" max="4366" width="13.140625" style="31" customWidth="1"/>
    <col min="4367" max="4367" width="14.140625" style="31" customWidth="1"/>
    <col min="4368" max="4368" width="6.85546875" style="31" customWidth="1"/>
    <col min="4369" max="4369" width="6" style="31" customWidth="1"/>
    <col min="4370" max="4370" width="6.28515625" style="31" customWidth="1"/>
    <col min="4371" max="4372" width="6.140625" style="31" customWidth="1"/>
    <col min="4373" max="4373" width="4.42578125" style="31" customWidth="1"/>
    <col min="4374" max="4374" width="5.140625" style="31" customWidth="1"/>
    <col min="4375" max="4376" width="6.140625" style="31" customWidth="1"/>
    <col min="4377" max="4377" width="5" style="31" customWidth="1"/>
    <col min="4378" max="4382" width="9.140625" style="31" customWidth="1"/>
    <col min="4383" max="4609" width="9.140625" style="31"/>
    <col min="4610" max="4610" width="10.85546875" style="31" customWidth="1"/>
    <col min="4611" max="4611" width="15.42578125" style="31" customWidth="1"/>
    <col min="4612" max="4612" width="12" style="31" customWidth="1"/>
    <col min="4613" max="4613" width="9.7109375" style="31" customWidth="1"/>
    <col min="4614" max="4614" width="8.42578125" style="31" customWidth="1"/>
    <col min="4615" max="4615" width="11.42578125" style="31" customWidth="1"/>
    <col min="4616" max="4616" width="10.28515625" style="31" customWidth="1"/>
    <col min="4617" max="4617" width="11.7109375" style="31" customWidth="1"/>
    <col min="4618" max="4618" width="11.42578125" style="31" customWidth="1"/>
    <col min="4619" max="4619" width="11.28515625" style="31" customWidth="1"/>
    <col min="4620" max="4620" width="13.42578125" style="31" customWidth="1"/>
    <col min="4621" max="4621" width="13.28515625" style="31" customWidth="1"/>
    <col min="4622" max="4622" width="13.140625" style="31" customWidth="1"/>
    <col min="4623" max="4623" width="14.140625" style="31" customWidth="1"/>
    <col min="4624" max="4624" width="6.85546875" style="31" customWidth="1"/>
    <col min="4625" max="4625" width="6" style="31" customWidth="1"/>
    <col min="4626" max="4626" width="6.28515625" style="31" customWidth="1"/>
    <col min="4627" max="4628" width="6.140625" style="31" customWidth="1"/>
    <col min="4629" max="4629" width="4.42578125" style="31" customWidth="1"/>
    <col min="4630" max="4630" width="5.140625" style="31" customWidth="1"/>
    <col min="4631" max="4632" width="6.140625" style="31" customWidth="1"/>
    <col min="4633" max="4633" width="5" style="31" customWidth="1"/>
    <col min="4634" max="4638" width="9.140625" style="31" customWidth="1"/>
    <col min="4639" max="4865" width="9.140625" style="31"/>
    <col min="4866" max="4866" width="10.85546875" style="31" customWidth="1"/>
    <col min="4867" max="4867" width="15.42578125" style="31" customWidth="1"/>
    <col min="4868" max="4868" width="12" style="31" customWidth="1"/>
    <col min="4869" max="4869" width="9.7109375" style="31" customWidth="1"/>
    <col min="4870" max="4870" width="8.42578125" style="31" customWidth="1"/>
    <col min="4871" max="4871" width="11.42578125" style="31" customWidth="1"/>
    <col min="4872" max="4872" width="10.28515625" style="31" customWidth="1"/>
    <col min="4873" max="4873" width="11.7109375" style="31" customWidth="1"/>
    <col min="4874" max="4874" width="11.42578125" style="31" customWidth="1"/>
    <col min="4875" max="4875" width="11.28515625" style="31" customWidth="1"/>
    <col min="4876" max="4876" width="13.42578125" style="31" customWidth="1"/>
    <col min="4877" max="4877" width="13.28515625" style="31" customWidth="1"/>
    <col min="4878" max="4878" width="13.140625" style="31" customWidth="1"/>
    <col min="4879" max="4879" width="14.140625" style="31" customWidth="1"/>
    <col min="4880" max="4880" width="6.85546875" style="31" customWidth="1"/>
    <col min="4881" max="4881" width="6" style="31" customWidth="1"/>
    <col min="4882" max="4882" width="6.28515625" style="31" customWidth="1"/>
    <col min="4883" max="4884" width="6.140625" style="31" customWidth="1"/>
    <col min="4885" max="4885" width="4.42578125" style="31" customWidth="1"/>
    <col min="4886" max="4886" width="5.140625" style="31" customWidth="1"/>
    <col min="4887" max="4888" width="6.140625" style="31" customWidth="1"/>
    <col min="4889" max="4889" width="5" style="31" customWidth="1"/>
    <col min="4890" max="4894" width="9.140625" style="31" customWidth="1"/>
    <col min="4895" max="5121" width="9.140625" style="31"/>
    <col min="5122" max="5122" width="10.85546875" style="31" customWidth="1"/>
    <col min="5123" max="5123" width="15.42578125" style="31" customWidth="1"/>
    <col min="5124" max="5124" width="12" style="31" customWidth="1"/>
    <col min="5125" max="5125" width="9.7109375" style="31" customWidth="1"/>
    <col min="5126" max="5126" width="8.42578125" style="31" customWidth="1"/>
    <col min="5127" max="5127" width="11.42578125" style="31" customWidth="1"/>
    <col min="5128" max="5128" width="10.28515625" style="31" customWidth="1"/>
    <col min="5129" max="5129" width="11.7109375" style="31" customWidth="1"/>
    <col min="5130" max="5130" width="11.42578125" style="31" customWidth="1"/>
    <col min="5131" max="5131" width="11.28515625" style="31" customWidth="1"/>
    <col min="5132" max="5132" width="13.42578125" style="31" customWidth="1"/>
    <col min="5133" max="5133" width="13.28515625" style="31" customWidth="1"/>
    <col min="5134" max="5134" width="13.140625" style="31" customWidth="1"/>
    <col min="5135" max="5135" width="14.140625" style="31" customWidth="1"/>
    <col min="5136" max="5136" width="6.85546875" style="31" customWidth="1"/>
    <col min="5137" max="5137" width="6" style="31" customWidth="1"/>
    <col min="5138" max="5138" width="6.28515625" style="31" customWidth="1"/>
    <col min="5139" max="5140" width="6.140625" style="31" customWidth="1"/>
    <col min="5141" max="5141" width="4.42578125" style="31" customWidth="1"/>
    <col min="5142" max="5142" width="5.140625" style="31" customWidth="1"/>
    <col min="5143" max="5144" width="6.140625" style="31" customWidth="1"/>
    <col min="5145" max="5145" width="5" style="31" customWidth="1"/>
    <col min="5146" max="5150" width="9.140625" style="31" customWidth="1"/>
    <col min="5151" max="5377" width="9.140625" style="31"/>
    <col min="5378" max="5378" width="10.85546875" style="31" customWidth="1"/>
    <col min="5379" max="5379" width="15.42578125" style="31" customWidth="1"/>
    <col min="5380" max="5380" width="12" style="31" customWidth="1"/>
    <col min="5381" max="5381" width="9.7109375" style="31" customWidth="1"/>
    <col min="5382" max="5382" width="8.42578125" style="31" customWidth="1"/>
    <col min="5383" max="5383" width="11.42578125" style="31" customWidth="1"/>
    <col min="5384" max="5384" width="10.28515625" style="31" customWidth="1"/>
    <col min="5385" max="5385" width="11.7109375" style="31" customWidth="1"/>
    <col min="5386" max="5386" width="11.42578125" style="31" customWidth="1"/>
    <col min="5387" max="5387" width="11.28515625" style="31" customWidth="1"/>
    <col min="5388" max="5388" width="13.42578125" style="31" customWidth="1"/>
    <col min="5389" max="5389" width="13.28515625" style="31" customWidth="1"/>
    <col min="5390" max="5390" width="13.140625" style="31" customWidth="1"/>
    <col min="5391" max="5391" width="14.140625" style="31" customWidth="1"/>
    <col min="5392" max="5392" width="6.85546875" style="31" customWidth="1"/>
    <col min="5393" max="5393" width="6" style="31" customWidth="1"/>
    <col min="5394" max="5394" width="6.28515625" style="31" customWidth="1"/>
    <col min="5395" max="5396" width="6.140625" style="31" customWidth="1"/>
    <col min="5397" max="5397" width="4.42578125" style="31" customWidth="1"/>
    <col min="5398" max="5398" width="5.140625" style="31" customWidth="1"/>
    <col min="5399" max="5400" width="6.140625" style="31" customWidth="1"/>
    <col min="5401" max="5401" width="5" style="31" customWidth="1"/>
    <col min="5402" max="5406" width="9.140625" style="31" customWidth="1"/>
    <col min="5407" max="5633" width="9.140625" style="31"/>
    <col min="5634" max="5634" width="10.85546875" style="31" customWidth="1"/>
    <col min="5635" max="5635" width="15.42578125" style="31" customWidth="1"/>
    <col min="5636" max="5636" width="12" style="31" customWidth="1"/>
    <col min="5637" max="5637" width="9.7109375" style="31" customWidth="1"/>
    <col min="5638" max="5638" width="8.42578125" style="31" customWidth="1"/>
    <col min="5639" max="5639" width="11.42578125" style="31" customWidth="1"/>
    <col min="5640" max="5640" width="10.28515625" style="31" customWidth="1"/>
    <col min="5641" max="5641" width="11.7109375" style="31" customWidth="1"/>
    <col min="5642" max="5642" width="11.42578125" style="31" customWidth="1"/>
    <col min="5643" max="5643" width="11.28515625" style="31" customWidth="1"/>
    <col min="5644" max="5644" width="13.42578125" style="31" customWidth="1"/>
    <col min="5645" max="5645" width="13.28515625" style="31" customWidth="1"/>
    <col min="5646" max="5646" width="13.140625" style="31" customWidth="1"/>
    <col min="5647" max="5647" width="14.140625" style="31" customWidth="1"/>
    <col min="5648" max="5648" width="6.85546875" style="31" customWidth="1"/>
    <col min="5649" max="5649" width="6" style="31" customWidth="1"/>
    <col min="5650" max="5650" width="6.28515625" style="31" customWidth="1"/>
    <col min="5651" max="5652" width="6.140625" style="31" customWidth="1"/>
    <col min="5653" max="5653" width="4.42578125" style="31" customWidth="1"/>
    <col min="5654" max="5654" width="5.140625" style="31" customWidth="1"/>
    <col min="5655" max="5656" width="6.140625" style="31" customWidth="1"/>
    <col min="5657" max="5657" width="5" style="31" customWidth="1"/>
    <col min="5658" max="5662" width="9.140625" style="31" customWidth="1"/>
    <col min="5663" max="5889" width="9.140625" style="31"/>
    <col min="5890" max="5890" width="10.85546875" style="31" customWidth="1"/>
    <col min="5891" max="5891" width="15.42578125" style="31" customWidth="1"/>
    <col min="5892" max="5892" width="12" style="31" customWidth="1"/>
    <col min="5893" max="5893" width="9.7109375" style="31" customWidth="1"/>
    <col min="5894" max="5894" width="8.42578125" style="31" customWidth="1"/>
    <col min="5895" max="5895" width="11.42578125" style="31" customWidth="1"/>
    <col min="5896" max="5896" width="10.28515625" style="31" customWidth="1"/>
    <col min="5897" max="5897" width="11.7109375" style="31" customWidth="1"/>
    <col min="5898" max="5898" width="11.42578125" style="31" customWidth="1"/>
    <col min="5899" max="5899" width="11.28515625" style="31" customWidth="1"/>
    <col min="5900" max="5900" width="13.42578125" style="31" customWidth="1"/>
    <col min="5901" max="5901" width="13.28515625" style="31" customWidth="1"/>
    <col min="5902" max="5902" width="13.140625" style="31" customWidth="1"/>
    <col min="5903" max="5903" width="14.140625" style="31" customWidth="1"/>
    <col min="5904" max="5904" width="6.85546875" style="31" customWidth="1"/>
    <col min="5905" max="5905" width="6" style="31" customWidth="1"/>
    <col min="5906" max="5906" width="6.28515625" style="31" customWidth="1"/>
    <col min="5907" max="5908" width="6.140625" style="31" customWidth="1"/>
    <col min="5909" max="5909" width="4.42578125" style="31" customWidth="1"/>
    <col min="5910" max="5910" width="5.140625" style="31" customWidth="1"/>
    <col min="5911" max="5912" width="6.140625" style="31" customWidth="1"/>
    <col min="5913" max="5913" width="5" style="31" customWidth="1"/>
    <col min="5914" max="5918" width="9.140625" style="31" customWidth="1"/>
    <col min="5919" max="6145" width="9.140625" style="31"/>
    <col min="6146" max="6146" width="10.85546875" style="31" customWidth="1"/>
    <col min="6147" max="6147" width="15.42578125" style="31" customWidth="1"/>
    <col min="6148" max="6148" width="12" style="31" customWidth="1"/>
    <col min="6149" max="6149" width="9.7109375" style="31" customWidth="1"/>
    <col min="6150" max="6150" width="8.42578125" style="31" customWidth="1"/>
    <col min="6151" max="6151" width="11.42578125" style="31" customWidth="1"/>
    <col min="6152" max="6152" width="10.28515625" style="31" customWidth="1"/>
    <col min="6153" max="6153" width="11.7109375" style="31" customWidth="1"/>
    <col min="6154" max="6154" width="11.42578125" style="31" customWidth="1"/>
    <col min="6155" max="6155" width="11.28515625" style="31" customWidth="1"/>
    <col min="6156" max="6156" width="13.42578125" style="31" customWidth="1"/>
    <col min="6157" max="6157" width="13.28515625" style="31" customWidth="1"/>
    <col min="6158" max="6158" width="13.140625" style="31" customWidth="1"/>
    <col min="6159" max="6159" width="14.140625" style="31" customWidth="1"/>
    <col min="6160" max="6160" width="6.85546875" style="31" customWidth="1"/>
    <col min="6161" max="6161" width="6" style="31" customWidth="1"/>
    <col min="6162" max="6162" width="6.28515625" style="31" customWidth="1"/>
    <col min="6163" max="6164" width="6.140625" style="31" customWidth="1"/>
    <col min="6165" max="6165" width="4.42578125" style="31" customWidth="1"/>
    <col min="6166" max="6166" width="5.140625" style="31" customWidth="1"/>
    <col min="6167" max="6168" width="6.140625" style="31" customWidth="1"/>
    <col min="6169" max="6169" width="5" style="31" customWidth="1"/>
    <col min="6170" max="6174" width="9.140625" style="31" customWidth="1"/>
    <col min="6175" max="6401" width="9.140625" style="31"/>
    <col min="6402" max="6402" width="10.85546875" style="31" customWidth="1"/>
    <col min="6403" max="6403" width="15.42578125" style="31" customWidth="1"/>
    <col min="6404" max="6404" width="12" style="31" customWidth="1"/>
    <col min="6405" max="6405" width="9.7109375" style="31" customWidth="1"/>
    <col min="6406" max="6406" width="8.42578125" style="31" customWidth="1"/>
    <col min="6407" max="6407" width="11.42578125" style="31" customWidth="1"/>
    <col min="6408" max="6408" width="10.28515625" style="31" customWidth="1"/>
    <col min="6409" max="6409" width="11.7109375" style="31" customWidth="1"/>
    <col min="6410" max="6410" width="11.42578125" style="31" customWidth="1"/>
    <col min="6411" max="6411" width="11.28515625" style="31" customWidth="1"/>
    <col min="6412" max="6412" width="13.42578125" style="31" customWidth="1"/>
    <col min="6413" max="6413" width="13.28515625" style="31" customWidth="1"/>
    <col min="6414" max="6414" width="13.140625" style="31" customWidth="1"/>
    <col min="6415" max="6415" width="14.140625" style="31" customWidth="1"/>
    <col min="6416" max="6416" width="6.85546875" style="31" customWidth="1"/>
    <col min="6417" max="6417" width="6" style="31" customWidth="1"/>
    <col min="6418" max="6418" width="6.28515625" style="31" customWidth="1"/>
    <col min="6419" max="6420" width="6.140625" style="31" customWidth="1"/>
    <col min="6421" max="6421" width="4.42578125" style="31" customWidth="1"/>
    <col min="6422" max="6422" width="5.140625" style="31" customWidth="1"/>
    <col min="6423" max="6424" width="6.140625" style="31" customWidth="1"/>
    <col min="6425" max="6425" width="5" style="31" customWidth="1"/>
    <col min="6426" max="6430" width="9.140625" style="31" customWidth="1"/>
    <col min="6431" max="6657" width="9.140625" style="31"/>
    <col min="6658" max="6658" width="10.85546875" style="31" customWidth="1"/>
    <col min="6659" max="6659" width="15.42578125" style="31" customWidth="1"/>
    <col min="6660" max="6660" width="12" style="31" customWidth="1"/>
    <col min="6661" max="6661" width="9.7109375" style="31" customWidth="1"/>
    <col min="6662" max="6662" width="8.42578125" style="31" customWidth="1"/>
    <col min="6663" max="6663" width="11.42578125" style="31" customWidth="1"/>
    <col min="6664" max="6664" width="10.28515625" style="31" customWidth="1"/>
    <col min="6665" max="6665" width="11.7109375" style="31" customWidth="1"/>
    <col min="6666" max="6666" width="11.42578125" style="31" customWidth="1"/>
    <col min="6667" max="6667" width="11.28515625" style="31" customWidth="1"/>
    <col min="6668" max="6668" width="13.42578125" style="31" customWidth="1"/>
    <col min="6669" max="6669" width="13.28515625" style="31" customWidth="1"/>
    <col min="6670" max="6670" width="13.140625" style="31" customWidth="1"/>
    <col min="6671" max="6671" width="14.140625" style="31" customWidth="1"/>
    <col min="6672" max="6672" width="6.85546875" style="31" customWidth="1"/>
    <col min="6673" max="6673" width="6" style="31" customWidth="1"/>
    <col min="6674" max="6674" width="6.28515625" style="31" customWidth="1"/>
    <col min="6675" max="6676" width="6.140625" style="31" customWidth="1"/>
    <col min="6677" max="6677" width="4.42578125" style="31" customWidth="1"/>
    <col min="6678" max="6678" width="5.140625" style="31" customWidth="1"/>
    <col min="6679" max="6680" width="6.140625" style="31" customWidth="1"/>
    <col min="6681" max="6681" width="5" style="31" customWidth="1"/>
    <col min="6682" max="6686" width="9.140625" style="31" customWidth="1"/>
    <col min="6687" max="6913" width="9.140625" style="31"/>
    <col min="6914" max="6914" width="10.85546875" style="31" customWidth="1"/>
    <col min="6915" max="6915" width="15.42578125" style="31" customWidth="1"/>
    <col min="6916" max="6916" width="12" style="31" customWidth="1"/>
    <col min="6917" max="6917" width="9.7109375" style="31" customWidth="1"/>
    <col min="6918" max="6918" width="8.42578125" style="31" customWidth="1"/>
    <col min="6919" max="6919" width="11.42578125" style="31" customWidth="1"/>
    <col min="6920" max="6920" width="10.28515625" style="31" customWidth="1"/>
    <col min="6921" max="6921" width="11.7109375" style="31" customWidth="1"/>
    <col min="6922" max="6922" width="11.42578125" style="31" customWidth="1"/>
    <col min="6923" max="6923" width="11.28515625" style="31" customWidth="1"/>
    <col min="6924" max="6924" width="13.42578125" style="31" customWidth="1"/>
    <col min="6925" max="6925" width="13.28515625" style="31" customWidth="1"/>
    <col min="6926" max="6926" width="13.140625" style="31" customWidth="1"/>
    <col min="6927" max="6927" width="14.140625" style="31" customWidth="1"/>
    <col min="6928" max="6928" width="6.85546875" style="31" customWidth="1"/>
    <col min="6929" max="6929" width="6" style="31" customWidth="1"/>
    <col min="6930" max="6930" width="6.28515625" style="31" customWidth="1"/>
    <col min="6931" max="6932" width="6.140625" style="31" customWidth="1"/>
    <col min="6933" max="6933" width="4.42578125" style="31" customWidth="1"/>
    <col min="6934" max="6934" width="5.140625" style="31" customWidth="1"/>
    <col min="6935" max="6936" width="6.140625" style="31" customWidth="1"/>
    <col min="6937" max="6937" width="5" style="31" customWidth="1"/>
    <col min="6938" max="6942" width="9.140625" style="31" customWidth="1"/>
    <col min="6943" max="7169" width="9.140625" style="31"/>
    <col min="7170" max="7170" width="10.85546875" style="31" customWidth="1"/>
    <col min="7171" max="7171" width="15.42578125" style="31" customWidth="1"/>
    <col min="7172" max="7172" width="12" style="31" customWidth="1"/>
    <col min="7173" max="7173" width="9.7109375" style="31" customWidth="1"/>
    <col min="7174" max="7174" width="8.42578125" style="31" customWidth="1"/>
    <col min="7175" max="7175" width="11.42578125" style="31" customWidth="1"/>
    <col min="7176" max="7176" width="10.28515625" style="31" customWidth="1"/>
    <col min="7177" max="7177" width="11.7109375" style="31" customWidth="1"/>
    <col min="7178" max="7178" width="11.42578125" style="31" customWidth="1"/>
    <col min="7179" max="7179" width="11.28515625" style="31" customWidth="1"/>
    <col min="7180" max="7180" width="13.42578125" style="31" customWidth="1"/>
    <col min="7181" max="7181" width="13.28515625" style="31" customWidth="1"/>
    <col min="7182" max="7182" width="13.140625" style="31" customWidth="1"/>
    <col min="7183" max="7183" width="14.140625" style="31" customWidth="1"/>
    <col min="7184" max="7184" width="6.85546875" style="31" customWidth="1"/>
    <col min="7185" max="7185" width="6" style="31" customWidth="1"/>
    <col min="7186" max="7186" width="6.28515625" style="31" customWidth="1"/>
    <col min="7187" max="7188" width="6.140625" style="31" customWidth="1"/>
    <col min="7189" max="7189" width="4.42578125" style="31" customWidth="1"/>
    <col min="7190" max="7190" width="5.140625" style="31" customWidth="1"/>
    <col min="7191" max="7192" width="6.140625" style="31" customWidth="1"/>
    <col min="7193" max="7193" width="5" style="31" customWidth="1"/>
    <col min="7194" max="7198" width="9.140625" style="31" customWidth="1"/>
    <col min="7199" max="7425" width="9.140625" style="31"/>
    <col min="7426" max="7426" width="10.85546875" style="31" customWidth="1"/>
    <col min="7427" max="7427" width="15.42578125" style="31" customWidth="1"/>
    <col min="7428" max="7428" width="12" style="31" customWidth="1"/>
    <col min="7429" max="7429" width="9.7109375" style="31" customWidth="1"/>
    <col min="7430" max="7430" width="8.42578125" style="31" customWidth="1"/>
    <col min="7431" max="7431" width="11.42578125" style="31" customWidth="1"/>
    <col min="7432" max="7432" width="10.28515625" style="31" customWidth="1"/>
    <col min="7433" max="7433" width="11.7109375" style="31" customWidth="1"/>
    <col min="7434" max="7434" width="11.42578125" style="31" customWidth="1"/>
    <col min="7435" max="7435" width="11.28515625" style="31" customWidth="1"/>
    <col min="7436" max="7436" width="13.42578125" style="31" customWidth="1"/>
    <col min="7437" max="7437" width="13.28515625" style="31" customWidth="1"/>
    <col min="7438" max="7438" width="13.140625" style="31" customWidth="1"/>
    <col min="7439" max="7439" width="14.140625" style="31" customWidth="1"/>
    <col min="7440" max="7440" width="6.85546875" style="31" customWidth="1"/>
    <col min="7441" max="7441" width="6" style="31" customWidth="1"/>
    <col min="7442" max="7442" width="6.28515625" style="31" customWidth="1"/>
    <col min="7443" max="7444" width="6.140625" style="31" customWidth="1"/>
    <col min="7445" max="7445" width="4.42578125" style="31" customWidth="1"/>
    <col min="7446" max="7446" width="5.140625" style="31" customWidth="1"/>
    <col min="7447" max="7448" width="6.140625" style="31" customWidth="1"/>
    <col min="7449" max="7449" width="5" style="31" customWidth="1"/>
    <col min="7450" max="7454" width="9.140625" style="31" customWidth="1"/>
    <col min="7455" max="7681" width="9.140625" style="31"/>
    <col min="7682" max="7682" width="10.85546875" style="31" customWidth="1"/>
    <col min="7683" max="7683" width="15.42578125" style="31" customWidth="1"/>
    <col min="7684" max="7684" width="12" style="31" customWidth="1"/>
    <col min="7685" max="7685" width="9.7109375" style="31" customWidth="1"/>
    <col min="7686" max="7686" width="8.42578125" style="31" customWidth="1"/>
    <col min="7687" max="7687" width="11.42578125" style="31" customWidth="1"/>
    <col min="7688" max="7688" width="10.28515625" style="31" customWidth="1"/>
    <col min="7689" max="7689" width="11.7109375" style="31" customWidth="1"/>
    <col min="7690" max="7690" width="11.42578125" style="31" customWidth="1"/>
    <col min="7691" max="7691" width="11.28515625" style="31" customWidth="1"/>
    <col min="7692" max="7692" width="13.42578125" style="31" customWidth="1"/>
    <col min="7693" max="7693" width="13.28515625" style="31" customWidth="1"/>
    <col min="7694" max="7694" width="13.140625" style="31" customWidth="1"/>
    <col min="7695" max="7695" width="14.140625" style="31" customWidth="1"/>
    <col min="7696" max="7696" width="6.85546875" style="31" customWidth="1"/>
    <col min="7697" max="7697" width="6" style="31" customWidth="1"/>
    <col min="7698" max="7698" width="6.28515625" style="31" customWidth="1"/>
    <col min="7699" max="7700" width="6.140625" style="31" customWidth="1"/>
    <col min="7701" max="7701" width="4.42578125" style="31" customWidth="1"/>
    <col min="7702" max="7702" width="5.140625" style="31" customWidth="1"/>
    <col min="7703" max="7704" width="6.140625" style="31" customWidth="1"/>
    <col min="7705" max="7705" width="5" style="31" customWidth="1"/>
    <col min="7706" max="7710" width="9.140625" style="31" customWidth="1"/>
    <col min="7711" max="7937" width="9.140625" style="31"/>
    <col min="7938" max="7938" width="10.85546875" style="31" customWidth="1"/>
    <col min="7939" max="7939" width="15.42578125" style="31" customWidth="1"/>
    <col min="7940" max="7940" width="12" style="31" customWidth="1"/>
    <col min="7941" max="7941" width="9.7109375" style="31" customWidth="1"/>
    <col min="7942" max="7942" width="8.42578125" style="31" customWidth="1"/>
    <col min="7943" max="7943" width="11.42578125" style="31" customWidth="1"/>
    <col min="7944" max="7944" width="10.28515625" style="31" customWidth="1"/>
    <col min="7945" max="7945" width="11.7109375" style="31" customWidth="1"/>
    <col min="7946" max="7946" width="11.42578125" style="31" customWidth="1"/>
    <col min="7947" max="7947" width="11.28515625" style="31" customWidth="1"/>
    <col min="7948" max="7948" width="13.42578125" style="31" customWidth="1"/>
    <col min="7949" max="7949" width="13.28515625" style="31" customWidth="1"/>
    <col min="7950" max="7950" width="13.140625" style="31" customWidth="1"/>
    <col min="7951" max="7951" width="14.140625" style="31" customWidth="1"/>
    <col min="7952" max="7952" width="6.85546875" style="31" customWidth="1"/>
    <col min="7953" max="7953" width="6" style="31" customWidth="1"/>
    <col min="7954" max="7954" width="6.28515625" style="31" customWidth="1"/>
    <col min="7955" max="7956" width="6.140625" style="31" customWidth="1"/>
    <col min="7957" max="7957" width="4.42578125" style="31" customWidth="1"/>
    <col min="7958" max="7958" width="5.140625" style="31" customWidth="1"/>
    <col min="7959" max="7960" width="6.140625" style="31" customWidth="1"/>
    <col min="7961" max="7961" width="5" style="31" customWidth="1"/>
    <col min="7962" max="7966" width="9.140625" style="31" customWidth="1"/>
    <col min="7967" max="8193" width="9.140625" style="31"/>
    <col min="8194" max="8194" width="10.85546875" style="31" customWidth="1"/>
    <col min="8195" max="8195" width="15.42578125" style="31" customWidth="1"/>
    <col min="8196" max="8196" width="12" style="31" customWidth="1"/>
    <col min="8197" max="8197" width="9.7109375" style="31" customWidth="1"/>
    <col min="8198" max="8198" width="8.42578125" style="31" customWidth="1"/>
    <col min="8199" max="8199" width="11.42578125" style="31" customWidth="1"/>
    <col min="8200" max="8200" width="10.28515625" style="31" customWidth="1"/>
    <col min="8201" max="8201" width="11.7109375" style="31" customWidth="1"/>
    <col min="8202" max="8202" width="11.42578125" style="31" customWidth="1"/>
    <col min="8203" max="8203" width="11.28515625" style="31" customWidth="1"/>
    <col min="8204" max="8204" width="13.42578125" style="31" customWidth="1"/>
    <col min="8205" max="8205" width="13.28515625" style="31" customWidth="1"/>
    <col min="8206" max="8206" width="13.140625" style="31" customWidth="1"/>
    <col min="8207" max="8207" width="14.140625" style="31" customWidth="1"/>
    <col min="8208" max="8208" width="6.85546875" style="31" customWidth="1"/>
    <col min="8209" max="8209" width="6" style="31" customWidth="1"/>
    <col min="8210" max="8210" width="6.28515625" style="31" customWidth="1"/>
    <col min="8211" max="8212" width="6.140625" style="31" customWidth="1"/>
    <col min="8213" max="8213" width="4.42578125" style="31" customWidth="1"/>
    <col min="8214" max="8214" width="5.140625" style="31" customWidth="1"/>
    <col min="8215" max="8216" width="6.140625" style="31" customWidth="1"/>
    <col min="8217" max="8217" width="5" style="31" customWidth="1"/>
    <col min="8218" max="8222" width="9.140625" style="31" customWidth="1"/>
    <col min="8223" max="8449" width="9.140625" style="31"/>
    <col min="8450" max="8450" width="10.85546875" style="31" customWidth="1"/>
    <col min="8451" max="8451" width="15.42578125" style="31" customWidth="1"/>
    <col min="8452" max="8452" width="12" style="31" customWidth="1"/>
    <col min="8453" max="8453" width="9.7109375" style="31" customWidth="1"/>
    <col min="8454" max="8454" width="8.42578125" style="31" customWidth="1"/>
    <col min="8455" max="8455" width="11.42578125" style="31" customWidth="1"/>
    <col min="8456" max="8456" width="10.28515625" style="31" customWidth="1"/>
    <col min="8457" max="8457" width="11.7109375" style="31" customWidth="1"/>
    <col min="8458" max="8458" width="11.42578125" style="31" customWidth="1"/>
    <col min="8459" max="8459" width="11.28515625" style="31" customWidth="1"/>
    <col min="8460" max="8460" width="13.42578125" style="31" customWidth="1"/>
    <col min="8461" max="8461" width="13.28515625" style="31" customWidth="1"/>
    <col min="8462" max="8462" width="13.140625" style="31" customWidth="1"/>
    <col min="8463" max="8463" width="14.140625" style="31" customWidth="1"/>
    <col min="8464" max="8464" width="6.85546875" style="31" customWidth="1"/>
    <col min="8465" max="8465" width="6" style="31" customWidth="1"/>
    <col min="8466" max="8466" width="6.28515625" style="31" customWidth="1"/>
    <col min="8467" max="8468" width="6.140625" style="31" customWidth="1"/>
    <col min="8469" max="8469" width="4.42578125" style="31" customWidth="1"/>
    <col min="8470" max="8470" width="5.140625" style="31" customWidth="1"/>
    <col min="8471" max="8472" width="6.140625" style="31" customWidth="1"/>
    <col min="8473" max="8473" width="5" style="31" customWidth="1"/>
    <col min="8474" max="8478" width="9.140625" style="31" customWidth="1"/>
    <col min="8479" max="8705" width="9.140625" style="31"/>
    <col min="8706" max="8706" width="10.85546875" style="31" customWidth="1"/>
    <col min="8707" max="8707" width="15.42578125" style="31" customWidth="1"/>
    <col min="8708" max="8708" width="12" style="31" customWidth="1"/>
    <col min="8709" max="8709" width="9.7109375" style="31" customWidth="1"/>
    <col min="8710" max="8710" width="8.42578125" style="31" customWidth="1"/>
    <col min="8711" max="8711" width="11.42578125" style="31" customWidth="1"/>
    <col min="8712" max="8712" width="10.28515625" style="31" customWidth="1"/>
    <col min="8713" max="8713" width="11.7109375" style="31" customWidth="1"/>
    <col min="8714" max="8714" width="11.42578125" style="31" customWidth="1"/>
    <col min="8715" max="8715" width="11.28515625" style="31" customWidth="1"/>
    <col min="8716" max="8716" width="13.42578125" style="31" customWidth="1"/>
    <col min="8717" max="8717" width="13.28515625" style="31" customWidth="1"/>
    <col min="8718" max="8718" width="13.140625" style="31" customWidth="1"/>
    <col min="8719" max="8719" width="14.140625" style="31" customWidth="1"/>
    <col min="8720" max="8720" width="6.85546875" style="31" customWidth="1"/>
    <col min="8721" max="8721" width="6" style="31" customWidth="1"/>
    <col min="8722" max="8722" width="6.28515625" style="31" customWidth="1"/>
    <col min="8723" max="8724" width="6.140625" style="31" customWidth="1"/>
    <col min="8725" max="8725" width="4.42578125" style="31" customWidth="1"/>
    <col min="8726" max="8726" width="5.140625" style="31" customWidth="1"/>
    <col min="8727" max="8728" width="6.140625" style="31" customWidth="1"/>
    <col min="8729" max="8729" width="5" style="31" customWidth="1"/>
    <col min="8730" max="8734" width="9.140625" style="31" customWidth="1"/>
    <col min="8735" max="8961" width="9.140625" style="31"/>
    <col min="8962" max="8962" width="10.85546875" style="31" customWidth="1"/>
    <col min="8963" max="8963" width="15.42578125" style="31" customWidth="1"/>
    <col min="8964" max="8964" width="12" style="31" customWidth="1"/>
    <col min="8965" max="8965" width="9.7109375" style="31" customWidth="1"/>
    <col min="8966" max="8966" width="8.42578125" style="31" customWidth="1"/>
    <col min="8967" max="8967" width="11.42578125" style="31" customWidth="1"/>
    <col min="8968" max="8968" width="10.28515625" style="31" customWidth="1"/>
    <col min="8969" max="8969" width="11.7109375" style="31" customWidth="1"/>
    <col min="8970" max="8970" width="11.42578125" style="31" customWidth="1"/>
    <col min="8971" max="8971" width="11.28515625" style="31" customWidth="1"/>
    <col min="8972" max="8972" width="13.42578125" style="31" customWidth="1"/>
    <col min="8973" max="8973" width="13.28515625" style="31" customWidth="1"/>
    <col min="8974" max="8974" width="13.140625" style="31" customWidth="1"/>
    <col min="8975" max="8975" width="14.140625" style="31" customWidth="1"/>
    <col min="8976" max="8976" width="6.85546875" style="31" customWidth="1"/>
    <col min="8977" max="8977" width="6" style="31" customWidth="1"/>
    <col min="8978" max="8978" width="6.28515625" style="31" customWidth="1"/>
    <col min="8979" max="8980" width="6.140625" style="31" customWidth="1"/>
    <col min="8981" max="8981" width="4.42578125" style="31" customWidth="1"/>
    <col min="8982" max="8982" width="5.140625" style="31" customWidth="1"/>
    <col min="8983" max="8984" width="6.140625" style="31" customWidth="1"/>
    <col min="8985" max="8985" width="5" style="31" customWidth="1"/>
    <col min="8986" max="8990" width="9.140625" style="31" customWidth="1"/>
    <col min="8991" max="9217" width="9.140625" style="31"/>
    <col min="9218" max="9218" width="10.85546875" style="31" customWidth="1"/>
    <col min="9219" max="9219" width="15.42578125" style="31" customWidth="1"/>
    <col min="9220" max="9220" width="12" style="31" customWidth="1"/>
    <col min="9221" max="9221" width="9.7109375" style="31" customWidth="1"/>
    <col min="9222" max="9222" width="8.42578125" style="31" customWidth="1"/>
    <col min="9223" max="9223" width="11.42578125" style="31" customWidth="1"/>
    <col min="9224" max="9224" width="10.28515625" style="31" customWidth="1"/>
    <col min="9225" max="9225" width="11.7109375" style="31" customWidth="1"/>
    <col min="9226" max="9226" width="11.42578125" style="31" customWidth="1"/>
    <col min="9227" max="9227" width="11.28515625" style="31" customWidth="1"/>
    <col min="9228" max="9228" width="13.42578125" style="31" customWidth="1"/>
    <col min="9229" max="9229" width="13.28515625" style="31" customWidth="1"/>
    <col min="9230" max="9230" width="13.140625" style="31" customWidth="1"/>
    <col min="9231" max="9231" width="14.140625" style="31" customWidth="1"/>
    <col min="9232" max="9232" width="6.85546875" style="31" customWidth="1"/>
    <col min="9233" max="9233" width="6" style="31" customWidth="1"/>
    <col min="9234" max="9234" width="6.28515625" style="31" customWidth="1"/>
    <col min="9235" max="9236" width="6.140625" style="31" customWidth="1"/>
    <col min="9237" max="9237" width="4.42578125" style="31" customWidth="1"/>
    <col min="9238" max="9238" width="5.140625" style="31" customWidth="1"/>
    <col min="9239" max="9240" width="6.140625" style="31" customWidth="1"/>
    <col min="9241" max="9241" width="5" style="31" customWidth="1"/>
    <col min="9242" max="9246" width="9.140625" style="31" customWidth="1"/>
    <col min="9247" max="9473" width="9.140625" style="31"/>
    <col min="9474" max="9474" width="10.85546875" style="31" customWidth="1"/>
    <col min="9475" max="9475" width="15.42578125" style="31" customWidth="1"/>
    <col min="9476" max="9476" width="12" style="31" customWidth="1"/>
    <col min="9477" max="9477" width="9.7109375" style="31" customWidth="1"/>
    <col min="9478" max="9478" width="8.42578125" style="31" customWidth="1"/>
    <col min="9479" max="9479" width="11.42578125" style="31" customWidth="1"/>
    <col min="9480" max="9480" width="10.28515625" style="31" customWidth="1"/>
    <col min="9481" max="9481" width="11.7109375" style="31" customWidth="1"/>
    <col min="9482" max="9482" width="11.42578125" style="31" customWidth="1"/>
    <col min="9483" max="9483" width="11.28515625" style="31" customWidth="1"/>
    <col min="9484" max="9484" width="13.42578125" style="31" customWidth="1"/>
    <col min="9485" max="9485" width="13.28515625" style="31" customWidth="1"/>
    <col min="9486" max="9486" width="13.140625" style="31" customWidth="1"/>
    <col min="9487" max="9487" width="14.140625" style="31" customWidth="1"/>
    <col min="9488" max="9488" width="6.85546875" style="31" customWidth="1"/>
    <col min="9489" max="9489" width="6" style="31" customWidth="1"/>
    <col min="9490" max="9490" width="6.28515625" style="31" customWidth="1"/>
    <col min="9491" max="9492" width="6.140625" style="31" customWidth="1"/>
    <col min="9493" max="9493" width="4.42578125" style="31" customWidth="1"/>
    <col min="9494" max="9494" width="5.140625" style="31" customWidth="1"/>
    <col min="9495" max="9496" width="6.140625" style="31" customWidth="1"/>
    <col min="9497" max="9497" width="5" style="31" customWidth="1"/>
    <col min="9498" max="9502" width="9.140625" style="31" customWidth="1"/>
    <col min="9503" max="9729" width="9.140625" style="31"/>
    <col min="9730" max="9730" width="10.85546875" style="31" customWidth="1"/>
    <col min="9731" max="9731" width="15.42578125" style="31" customWidth="1"/>
    <col min="9732" max="9732" width="12" style="31" customWidth="1"/>
    <col min="9733" max="9733" width="9.7109375" style="31" customWidth="1"/>
    <col min="9734" max="9734" width="8.42578125" style="31" customWidth="1"/>
    <col min="9735" max="9735" width="11.42578125" style="31" customWidth="1"/>
    <col min="9736" max="9736" width="10.28515625" style="31" customWidth="1"/>
    <col min="9737" max="9737" width="11.7109375" style="31" customWidth="1"/>
    <col min="9738" max="9738" width="11.42578125" style="31" customWidth="1"/>
    <col min="9739" max="9739" width="11.28515625" style="31" customWidth="1"/>
    <col min="9740" max="9740" width="13.42578125" style="31" customWidth="1"/>
    <col min="9741" max="9741" width="13.28515625" style="31" customWidth="1"/>
    <col min="9742" max="9742" width="13.140625" style="31" customWidth="1"/>
    <col min="9743" max="9743" width="14.140625" style="31" customWidth="1"/>
    <col min="9744" max="9744" width="6.85546875" style="31" customWidth="1"/>
    <col min="9745" max="9745" width="6" style="31" customWidth="1"/>
    <col min="9746" max="9746" width="6.28515625" style="31" customWidth="1"/>
    <col min="9747" max="9748" width="6.140625" style="31" customWidth="1"/>
    <col min="9749" max="9749" width="4.42578125" style="31" customWidth="1"/>
    <col min="9750" max="9750" width="5.140625" style="31" customWidth="1"/>
    <col min="9751" max="9752" width="6.140625" style="31" customWidth="1"/>
    <col min="9753" max="9753" width="5" style="31" customWidth="1"/>
    <col min="9754" max="9758" width="9.140625" style="31" customWidth="1"/>
    <col min="9759" max="9985" width="9.140625" style="31"/>
    <col min="9986" max="9986" width="10.85546875" style="31" customWidth="1"/>
    <col min="9987" max="9987" width="15.42578125" style="31" customWidth="1"/>
    <col min="9988" max="9988" width="12" style="31" customWidth="1"/>
    <col min="9989" max="9989" width="9.7109375" style="31" customWidth="1"/>
    <col min="9990" max="9990" width="8.42578125" style="31" customWidth="1"/>
    <col min="9991" max="9991" width="11.42578125" style="31" customWidth="1"/>
    <col min="9992" max="9992" width="10.28515625" style="31" customWidth="1"/>
    <col min="9993" max="9993" width="11.7109375" style="31" customWidth="1"/>
    <col min="9994" max="9994" width="11.42578125" style="31" customWidth="1"/>
    <col min="9995" max="9995" width="11.28515625" style="31" customWidth="1"/>
    <col min="9996" max="9996" width="13.42578125" style="31" customWidth="1"/>
    <col min="9997" max="9997" width="13.28515625" style="31" customWidth="1"/>
    <col min="9998" max="9998" width="13.140625" style="31" customWidth="1"/>
    <col min="9999" max="9999" width="14.140625" style="31" customWidth="1"/>
    <col min="10000" max="10000" width="6.85546875" style="31" customWidth="1"/>
    <col min="10001" max="10001" width="6" style="31" customWidth="1"/>
    <col min="10002" max="10002" width="6.28515625" style="31" customWidth="1"/>
    <col min="10003" max="10004" width="6.140625" style="31" customWidth="1"/>
    <col min="10005" max="10005" width="4.42578125" style="31" customWidth="1"/>
    <col min="10006" max="10006" width="5.140625" style="31" customWidth="1"/>
    <col min="10007" max="10008" width="6.140625" style="31" customWidth="1"/>
    <col min="10009" max="10009" width="5" style="31" customWidth="1"/>
    <col min="10010" max="10014" width="9.140625" style="31" customWidth="1"/>
    <col min="10015" max="10241" width="9.140625" style="31"/>
    <col min="10242" max="10242" width="10.85546875" style="31" customWidth="1"/>
    <col min="10243" max="10243" width="15.42578125" style="31" customWidth="1"/>
    <col min="10244" max="10244" width="12" style="31" customWidth="1"/>
    <col min="10245" max="10245" width="9.7109375" style="31" customWidth="1"/>
    <col min="10246" max="10246" width="8.42578125" style="31" customWidth="1"/>
    <col min="10247" max="10247" width="11.42578125" style="31" customWidth="1"/>
    <col min="10248" max="10248" width="10.28515625" style="31" customWidth="1"/>
    <col min="10249" max="10249" width="11.7109375" style="31" customWidth="1"/>
    <col min="10250" max="10250" width="11.42578125" style="31" customWidth="1"/>
    <col min="10251" max="10251" width="11.28515625" style="31" customWidth="1"/>
    <col min="10252" max="10252" width="13.42578125" style="31" customWidth="1"/>
    <col min="10253" max="10253" width="13.28515625" style="31" customWidth="1"/>
    <col min="10254" max="10254" width="13.140625" style="31" customWidth="1"/>
    <col min="10255" max="10255" width="14.140625" style="31" customWidth="1"/>
    <col min="10256" max="10256" width="6.85546875" style="31" customWidth="1"/>
    <col min="10257" max="10257" width="6" style="31" customWidth="1"/>
    <col min="10258" max="10258" width="6.28515625" style="31" customWidth="1"/>
    <col min="10259" max="10260" width="6.140625" style="31" customWidth="1"/>
    <col min="10261" max="10261" width="4.42578125" style="31" customWidth="1"/>
    <col min="10262" max="10262" width="5.140625" style="31" customWidth="1"/>
    <col min="10263" max="10264" width="6.140625" style="31" customWidth="1"/>
    <col min="10265" max="10265" width="5" style="31" customWidth="1"/>
    <col min="10266" max="10270" width="9.140625" style="31" customWidth="1"/>
    <col min="10271" max="10497" width="9.140625" style="31"/>
    <col min="10498" max="10498" width="10.85546875" style="31" customWidth="1"/>
    <col min="10499" max="10499" width="15.42578125" style="31" customWidth="1"/>
    <col min="10500" max="10500" width="12" style="31" customWidth="1"/>
    <col min="10501" max="10501" width="9.7109375" style="31" customWidth="1"/>
    <col min="10502" max="10502" width="8.42578125" style="31" customWidth="1"/>
    <col min="10503" max="10503" width="11.42578125" style="31" customWidth="1"/>
    <col min="10504" max="10504" width="10.28515625" style="31" customWidth="1"/>
    <col min="10505" max="10505" width="11.7109375" style="31" customWidth="1"/>
    <col min="10506" max="10506" width="11.42578125" style="31" customWidth="1"/>
    <col min="10507" max="10507" width="11.28515625" style="31" customWidth="1"/>
    <col min="10508" max="10508" width="13.42578125" style="31" customWidth="1"/>
    <col min="10509" max="10509" width="13.28515625" style="31" customWidth="1"/>
    <col min="10510" max="10510" width="13.140625" style="31" customWidth="1"/>
    <col min="10511" max="10511" width="14.140625" style="31" customWidth="1"/>
    <col min="10512" max="10512" width="6.85546875" style="31" customWidth="1"/>
    <col min="10513" max="10513" width="6" style="31" customWidth="1"/>
    <col min="10514" max="10514" width="6.28515625" style="31" customWidth="1"/>
    <col min="10515" max="10516" width="6.140625" style="31" customWidth="1"/>
    <col min="10517" max="10517" width="4.42578125" style="31" customWidth="1"/>
    <col min="10518" max="10518" width="5.140625" style="31" customWidth="1"/>
    <col min="10519" max="10520" width="6.140625" style="31" customWidth="1"/>
    <col min="10521" max="10521" width="5" style="31" customWidth="1"/>
    <col min="10522" max="10526" width="9.140625" style="31" customWidth="1"/>
    <col min="10527" max="10753" width="9.140625" style="31"/>
    <col min="10754" max="10754" width="10.85546875" style="31" customWidth="1"/>
    <col min="10755" max="10755" width="15.42578125" style="31" customWidth="1"/>
    <col min="10756" max="10756" width="12" style="31" customWidth="1"/>
    <col min="10757" max="10757" width="9.7109375" style="31" customWidth="1"/>
    <col min="10758" max="10758" width="8.42578125" style="31" customWidth="1"/>
    <col min="10759" max="10759" width="11.42578125" style="31" customWidth="1"/>
    <col min="10760" max="10760" width="10.28515625" style="31" customWidth="1"/>
    <col min="10761" max="10761" width="11.7109375" style="31" customWidth="1"/>
    <col min="10762" max="10762" width="11.42578125" style="31" customWidth="1"/>
    <col min="10763" max="10763" width="11.28515625" style="31" customWidth="1"/>
    <col min="10764" max="10764" width="13.42578125" style="31" customWidth="1"/>
    <col min="10765" max="10765" width="13.28515625" style="31" customWidth="1"/>
    <col min="10766" max="10766" width="13.140625" style="31" customWidth="1"/>
    <col min="10767" max="10767" width="14.140625" style="31" customWidth="1"/>
    <col min="10768" max="10768" width="6.85546875" style="31" customWidth="1"/>
    <col min="10769" max="10769" width="6" style="31" customWidth="1"/>
    <col min="10770" max="10770" width="6.28515625" style="31" customWidth="1"/>
    <col min="10771" max="10772" width="6.140625" style="31" customWidth="1"/>
    <col min="10773" max="10773" width="4.42578125" style="31" customWidth="1"/>
    <col min="10774" max="10774" width="5.140625" style="31" customWidth="1"/>
    <col min="10775" max="10776" width="6.140625" style="31" customWidth="1"/>
    <col min="10777" max="10777" width="5" style="31" customWidth="1"/>
    <col min="10778" max="10782" width="9.140625" style="31" customWidth="1"/>
    <col min="10783" max="11009" width="9.140625" style="31"/>
    <col min="11010" max="11010" width="10.85546875" style="31" customWidth="1"/>
    <col min="11011" max="11011" width="15.42578125" style="31" customWidth="1"/>
    <col min="11012" max="11012" width="12" style="31" customWidth="1"/>
    <col min="11013" max="11013" width="9.7109375" style="31" customWidth="1"/>
    <col min="11014" max="11014" width="8.42578125" style="31" customWidth="1"/>
    <col min="11015" max="11015" width="11.42578125" style="31" customWidth="1"/>
    <col min="11016" max="11016" width="10.28515625" style="31" customWidth="1"/>
    <col min="11017" max="11017" width="11.7109375" style="31" customWidth="1"/>
    <col min="11018" max="11018" width="11.42578125" style="31" customWidth="1"/>
    <col min="11019" max="11019" width="11.28515625" style="31" customWidth="1"/>
    <col min="11020" max="11020" width="13.42578125" style="31" customWidth="1"/>
    <col min="11021" max="11021" width="13.28515625" style="31" customWidth="1"/>
    <col min="11022" max="11022" width="13.140625" style="31" customWidth="1"/>
    <col min="11023" max="11023" width="14.140625" style="31" customWidth="1"/>
    <col min="11024" max="11024" width="6.85546875" style="31" customWidth="1"/>
    <col min="11025" max="11025" width="6" style="31" customWidth="1"/>
    <col min="11026" max="11026" width="6.28515625" style="31" customWidth="1"/>
    <col min="11027" max="11028" width="6.140625" style="31" customWidth="1"/>
    <col min="11029" max="11029" width="4.42578125" style="31" customWidth="1"/>
    <col min="11030" max="11030" width="5.140625" style="31" customWidth="1"/>
    <col min="11031" max="11032" width="6.140625" style="31" customWidth="1"/>
    <col min="11033" max="11033" width="5" style="31" customWidth="1"/>
    <col min="11034" max="11038" width="9.140625" style="31" customWidth="1"/>
    <col min="11039" max="11265" width="9.140625" style="31"/>
    <col min="11266" max="11266" width="10.85546875" style="31" customWidth="1"/>
    <col min="11267" max="11267" width="15.42578125" style="31" customWidth="1"/>
    <col min="11268" max="11268" width="12" style="31" customWidth="1"/>
    <col min="11269" max="11269" width="9.7109375" style="31" customWidth="1"/>
    <col min="11270" max="11270" width="8.42578125" style="31" customWidth="1"/>
    <col min="11271" max="11271" width="11.42578125" style="31" customWidth="1"/>
    <col min="11272" max="11272" width="10.28515625" style="31" customWidth="1"/>
    <col min="11273" max="11273" width="11.7109375" style="31" customWidth="1"/>
    <col min="11274" max="11274" width="11.42578125" style="31" customWidth="1"/>
    <col min="11275" max="11275" width="11.28515625" style="31" customWidth="1"/>
    <col min="11276" max="11276" width="13.42578125" style="31" customWidth="1"/>
    <col min="11277" max="11277" width="13.28515625" style="31" customWidth="1"/>
    <col min="11278" max="11278" width="13.140625" style="31" customWidth="1"/>
    <col min="11279" max="11279" width="14.140625" style="31" customWidth="1"/>
    <col min="11280" max="11280" width="6.85546875" style="31" customWidth="1"/>
    <col min="11281" max="11281" width="6" style="31" customWidth="1"/>
    <col min="11282" max="11282" width="6.28515625" style="31" customWidth="1"/>
    <col min="11283" max="11284" width="6.140625" style="31" customWidth="1"/>
    <col min="11285" max="11285" width="4.42578125" style="31" customWidth="1"/>
    <col min="11286" max="11286" width="5.140625" style="31" customWidth="1"/>
    <col min="11287" max="11288" width="6.140625" style="31" customWidth="1"/>
    <col min="11289" max="11289" width="5" style="31" customWidth="1"/>
    <col min="11290" max="11294" width="9.140625" style="31" customWidth="1"/>
    <col min="11295" max="11521" width="9.140625" style="31"/>
    <col min="11522" max="11522" width="10.85546875" style="31" customWidth="1"/>
    <col min="11523" max="11523" width="15.42578125" style="31" customWidth="1"/>
    <col min="11524" max="11524" width="12" style="31" customWidth="1"/>
    <col min="11525" max="11525" width="9.7109375" style="31" customWidth="1"/>
    <col min="11526" max="11526" width="8.42578125" style="31" customWidth="1"/>
    <col min="11527" max="11527" width="11.42578125" style="31" customWidth="1"/>
    <col min="11528" max="11528" width="10.28515625" style="31" customWidth="1"/>
    <col min="11529" max="11529" width="11.7109375" style="31" customWidth="1"/>
    <col min="11530" max="11530" width="11.42578125" style="31" customWidth="1"/>
    <col min="11531" max="11531" width="11.28515625" style="31" customWidth="1"/>
    <col min="11532" max="11532" width="13.42578125" style="31" customWidth="1"/>
    <col min="11533" max="11533" width="13.28515625" style="31" customWidth="1"/>
    <col min="11534" max="11534" width="13.140625" style="31" customWidth="1"/>
    <col min="11535" max="11535" width="14.140625" style="31" customWidth="1"/>
    <col min="11536" max="11536" width="6.85546875" style="31" customWidth="1"/>
    <col min="11537" max="11537" width="6" style="31" customWidth="1"/>
    <col min="11538" max="11538" width="6.28515625" style="31" customWidth="1"/>
    <col min="11539" max="11540" width="6.140625" style="31" customWidth="1"/>
    <col min="11541" max="11541" width="4.42578125" style="31" customWidth="1"/>
    <col min="11542" max="11542" width="5.140625" style="31" customWidth="1"/>
    <col min="11543" max="11544" width="6.140625" style="31" customWidth="1"/>
    <col min="11545" max="11545" width="5" style="31" customWidth="1"/>
    <col min="11546" max="11550" width="9.140625" style="31" customWidth="1"/>
    <col min="11551" max="11777" width="9.140625" style="31"/>
    <col min="11778" max="11778" width="10.85546875" style="31" customWidth="1"/>
    <col min="11779" max="11779" width="15.42578125" style="31" customWidth="1"/>
    <col min="11780" max="11780" width="12" style="31" customWidth="1"/>
    <col min="11781" max="11781" width="9.7109375" style="31" customWidth="1"/>
    <col min="11782" max="11782" width="8.42578125" style="31" customWidth="1"/>
    <col min="11783" max="11783" width="11.42578125" style="31" customWidth="1"/>
    <col min="11784" max="11784" width="10.28515625" style="31" customWidth="1"/>
    <col min="11785" max="11785" width="11.7109375" style="31" customWidth="1"/>
    <col min="11786" max="11786" width="11.42578125" style="31" customWidth="1"/>
    <col min="11787" max="11787" width="11.28515625" style="31" customWidth="1"/>
    <col min="11788" max="11788" width="13.42578125" style="31" customWidth="1"/>
    <col min="11789" max="11789" width="13.28515625" style="31" customWidth="1"/>
    <col min="11790" max="11790" width="13.140625" style="31" customWidth="1"/>
    <col min="11791" max="11791" width="14.140625" style="31" customWidth="1"/>
    <col min="11792" max="11792" width="6.85546875" style="31" customWidth="1"/>
    <col min="11793" max="11793" width="6" style="31" customWidth="1"/>
    <col min="11794" max="11794" width="6.28515625" style="31" customWidth="1"/>
    <col min="11795" max="11796" width="6.140625" style="31" customWidth="1"/>
    <col min="11797" max="11797" width="4.42578125" style="31" customWidth="1"/>
    <col min="11798" max="11798" width="5.140625" style="31" customWidth="1"/>
    <col min="11799" max="11800" width="6.140625" style="31" customWidth="1"/>
    <col min="11801" max="11801" width="5" style="31" customWidth="1"/>
    <col min="11802" max="11806" width="9.140625" style="31" customWidth="1"/>
    <col min="11807" max="12033" width="9.140625" style="31"/>
    <col min="12034" max="12034" width="10.85546875" style="31" customWidth="1"/>
    <col min="12035" max="12035" width="15.42578125" style="31" customWidth="1"/>
    <col min="12036" max="12036" width="12" style="31" customWidth="1"/>
    <col min="12037" max="12037" width="9.7109375" style="31" customWidth="1"/>
    <col min="12038" max="12038" width="8.42578125" style="31" customWidth="1"/>
    <col min="12039" max="12039" width="11.42578125" style="31" customWidth="1"/>
    <col min="12040" max="12040" width="10.28515625" style="31" customWidth="1"/>
    <col min="12041" max="12041" width="11.7109375" style="31" customWidth="1"/>
    <col min="12042" max="12042" width="11.42578125" style="31" customWidth="1"/>
    <col min="12043" max="12043" width="11.28515625" style="31" customWidth="1"/>
    <col min="12044" max="12044" width="13.42578125" style="31" customWidth="1"/>
    <col min="12045" max="12045" width="13.28515625" style="31" customWidth="1"/>
    <col min="12046" max="12046" width="13.140625" style="31" customWidth="1"/>
    <col min="12047" max="12047" width="14.140625" style="31" customWidth="1"/>
    <col min="12048" max="12048" width="6.85546875" style="31" customWidth="1"/>
    <col min="12049" max="12049" width="6" style="31" customWidth="1"/>
    <col min="12050" max="12050" width="6.28515625" style="31" customWidth="1"/>
    <col min="12051" max="12052" width="6.140625" style="31" customWidth="1"/>
    <col min="12053" max="12053" width="4.42578125" style="31" customWidth="1"/>
    <col min="12054" max="12054" width="5.140625" style="31" customWidth="1"/>
    <col min="12055" max="12056" width="6.140625" style="31" customWidth="1"/>
    <col min="12057" max="12057" width="5" style="31" customWidth="1"/>
    <col min="12058" max="12062" width="9.140625" style="31" customWidth="1"/>
    <col min="12063" max="12289" width="9.140625" style="31"/>
    <col min="12290" max="12290" width="10.85546875" style="31" customWidth="1"/>
    <col min="12291" max="12291" width="15.42578125" style="31" customWidth="1"/>
    <col min="12292" max="12292" width="12" style="31" customWidth="1"/>
    <col min="12293" max="12293" width="9.7109375" style="31" customWidth="1"/>
    <col min="12294" max="12294" width="8.42578125" style="31" customWidth="1"/>
    <col min="12295" max="12295" width="11.42578125" style="31" customWidth="1"/>
    <col min="12296" max="12296" width="10.28515625" style="31" customWidth="1"/>
    <col min="12297" max="12297" width="11.7109375" style="31" customWidth="1"/>
    <col min="12298" max="12298" width="11.42578125" style="31" customWidth="1"/>
    <col min="12299" max="12299" width="11.28515625" style="31" customWidth="1"/>
    <col min="12300" max="12300" width="13.42578125" style="31" customWidth="1"/>
    <col min="12301" max="12301" width="13.28515625" style="31" customWidth="1"/>
    <col min="12302" max="12302" width="13.140625" style="31" customWidth="1"/>
    <col min="12303" max="12303" width="14.140625" style="31" customWidth="1"/>
    <col min="12304" max="12304" width="6.85546875" style="31" customWidth="1"/>
    <col min="12305" max="12305" width="6" style="31" customWidth="1"/>
    <col min="12306" max="12306" width="6.28515625" style="31" customWidth="1"/>
    <col min="12307" max="12308" width="6.140625" style="31" customWidth="1"/>
    <col min="12309" max="12309" width="4.42578125" style="31" customWidth="1"/>
    <col min="12310" max="12310" width="5.140625" style="31" customWidth="1"/>
    <col min="12311" max="12312" width="6.140625" style="31" customWidth="1"/>
    <col min="12313" max="12313" width="5" style="31" customWidth="1"/>
    <col min="12314" max="12318" width="9.140625" style="31" customWidth="1"/>
    <col min="12319" max="12545" width="9.140625" style="31"/>
    <col min="12546" max="12546" width="10.85546875" style="31" customWidth="1"/>
    <col min="12547" max="12547" width="15.42578125" style="31" customWidth="1"/>
    <col min="12548" max="12548" width="12" style="31" customWidth="1"/>
    <col min="12549" max="12549" width="9.7109375" style="31" customWidth="1"/>
    <col min="12550" max="12550" width="8.42578125" style="31" customWidth="1"/>
    <col min="12551" max="12551" width="11.42578125" style="31" customWidth="1"/>
    <col min="12552" max="12552" width="10.28515625" style="31" customWidth="1"/>
    <col min="12553" max="12553" width="11.7109375" style="31" customWidth="1"/>
    <col min="12554" max="12554" width="11.42578125" style="31" customWidth="1"/>
    <col min="12555" max="12555" width="11.28515625" style="31" customWidth="1"/>
    <col min="12556" max="12556" width="13.42578125" style="31" customWidth="1"/>
    <col min="12557" max="12557" width="13.28515625" style="31" customWidth="1"/>
    <col min="12558" max="12558" width="13.140625" style="31" customWidth="1"/>
    <col min="12559" max="12559" width="14.140625" style="31" customWidth="1"/>
    <col min="12560" max="12560" width="6.85546875" style="31" customWidth="1"/>
    <col min="12561" max="12561" width="6" style="31" customWidth="1"/>
    <col min="12562" max="12562" width="6.28515625" style="31" customWidth="1"/>
    <col min="12563" max="12564" width="6.140625" style="31" customWidth="1"/>
    <col min="12565" max="12565" width="4.42578125" style="31" customWidth="1"/>
    <col min="12566" max="12566" width="5.140625" style="31" customWidth="1"/>
    <col min="12567" max="12568" width="6.140625" style="31" customWidth="1"/>
    <col min="12569" max="12569" width="5" style="31" customWidth="1"/>
    <col min="12570" max="12574" width="9.140625" style="31" customWidth="1"/>
    <col min="12575" max="12801" width="9.140625" style="31"/>
    <col min="12802" max="12802" width="10.85546875" style="31" customWidth="1"/>
    <col min="12803" max="12803" width="15.42578125" style="31" customWidth="1"/>
    <col min="12804" max="12804" width="12" style="31" customWidth="1"/>
    <col min="12805" max="12805" width="9.7109375" style="31" customWidth="1"/>
    <col min="12806" max="12806" width="8.42578125" style="31" customWidth="1"/>
    <col min="12807" max="12807" width="11.42578125" style="31" customWidth="1"/>
    <col min="12808" max="12808" width="10.28515625" style="31" customWidth="1"/>
    <col min="12809" max="12809" width="11.7109375" style="31" customWidth="1"/>
    <col min="12810" max="12810" width="11.42578125" style="31" customWidth="1"/>
    <col min="12811" max="12811" width="11.28515625" style="31" customWidth="1"/>
    <col min="12812" max="12812" width="13.42578125" style="31" customWidth="1"/>
    <col min="12813" max="12813" width="13.28515625" style="31" customWidth="1"/>
    <col min="12814" max="12814" width="13.140625" style="31" customWidth="1"/>
    <col min="12815" max="12815" width="14.140625" style="31" customWidth="1"/>
    <col min="12816" max="12816" width="6.85546875" style="31" customWidth="1"/>
    <col min="12817" max="12817" width="6" style="31" customWidth="1"/>
    <col min="12818" max="12818" width="6.28515625" style="31" customWidth="1"/>
    <col min="12819" max="12820" width="6.140625" style="31" customWidth="1"/>
    <col min="12821" max="12821" width="4.42578125" style="31" customWidth="1"/>
    <col min="12822" max="12822" width="5.140625" style="31" customWidth="1"/>
    <col min="12823" max="12824" width="6.140625" style="31" customWidth="1"/>
    <col min="12825" max="12825" width="5" style="31" customWidth="1"/>
    <col min="12826" max="12830" width="9.140625" style="31" customWidth="1"/>
    <col min="12831" max="13057" width="9.140625" style="31"/>
    <col min="13058" max="13058" width="10.85546875" style="31" customWidth="1"/>
    <col min="13059" max="13059" width="15.42578125" style="31" customWidth="1"/>
    <col min="13060" max="13060" width="12" style="31" customWidth="1"/>
    <col min="13061" max="13061" width="9.7109375" style="31" customWidth="1"/>
    <col min="13062" max="13062" width="8.42578125" style="31" customWidth="1"/>
    <col min="13063" max="13063" width="11.42578125" style="31" customWidth="1"/>
    <col min="13064" max="13064" width="10.28515625" style="31" customWidth="1"/>
    <col min="13065" max="13065" width="11.7109375" style="31" customWidth="1"/>
    <col min="13066" max="13066" width="11.42578125" style="31" customWidth="1"/>
    <col min="13067" max="13067" width="11.28515625" style="31" customWidth="1"/>
    <col min="13068" max="13068" width="13.42578125" style="31" customWidth="1"/>
    <col min="13069" max="13069" width="13.28515625" style="31" customWidth="1"/>
    <col min="13070" max="13070" width="13.140625" style="31" customWidth="1"/>
    <col min="13071" max="13071" width="14.140625" style="31" customWidth="1"/>
    <col min="13072" max="13072" width="6.85546875" style="31" customWidth="1"/>
    <col min="13073" max="13073" width="6" style="31" customWidth="1"/>
    <col min="13074" max="13074" width="6.28515625" style="31" customWidth="1"/>
    <col min="13075" max="13076" width="6.140625" style="31" customWidth="1"/>
    <col min="13077" max="13077" width="4.42578125" style="31" customWidth="1"/>
    <col min="13078" max="13078" width="5.140625" style="31" customWidth="1"/>
    <col min="13079" max="13080" width="6.140625" style="31" customWidth="1"/>
    <col min="13081" max="13081" width="5" style="31" customWidth="1"/>
    <col min="13082" max="13086" width="9.140625" style="31" customWidth="1"/>
    <col min="13087" max="13313" width="9.140625" style="31"/>
    <col min="13314" max="13314" width="10.85546875" style="31" customWidth="1"/>
    <col min="13315" max="13315" width="15.42578125" style="31" customWidth="1"/>
    <col min="13316" max="13316" width="12" style="31" customWidth="1"/>
    <col min="13317" max="13317" width="9.7109375" style="31" customWidth="1"/>
    <col min="13318" max="13318" width="8.42578125" style="31" customWidth="1"/>
    <col min="13319" max="13319" width="11.42578125" style="31" customWidth="1"/>
    <col min="13320" max="13320" width="10.28515625" style="31" customWidth="1"/>
    <col min="13321" max="13321" width="11.7109375" style="31" customWidth="1"/>
    <col min="13322" max="13322" width="11.42578125" style="31" customWidth="1"/>
    <col min="13323" max="13323" width="11.28515625" style="31" customWidth="1"/>
    <col min="13324" max="13324" width="13.42578125" style="31" customWidth="1"/>
    <col min="13325" max="13325" width="13.28515625" style="31" customWidth="1"/>
    <col min="13326" max="13326" width="13.140625" style="31" customWidth="1"/>
    <col min="13327" max="13327" width="14.140625" style="31" customWidth="1"/>
    <col min="13328" max="13328" width="6.85546875" style="31" customWidth="1"/>
    <col min="13329" max="13329" width="6" style="31" customWidth="1"/>
    <col min="13330" max="13330" width="6.28515625" style="31" customWidth="1"/>
    <col min="13331" max="13332" width="6.140625" style="31" customWidth="1"/>
    <col min="13333" max="13333" width="4.42578125" style="31" customWidth="1"/>
    <col min="13334" max="13334" width="5.140625" style="31" customWidth="1"/>
    <col min="13335" max="13336" width="6.140625" style="31" customWidth="1"/>
    <col min="13337" max="13337" width="5" style="31" customWidth="1"/>
    <col min="13338" max="13342" width="9.140625" style="31" customWidth="1"/>
    <col min="13343" max="13569" width="9.140625" style="31"/>
    <col min="13570" max="13570" width="10.85546875" style="31" customWidth="1"/>
    <col min="13571" max="13571" width="15.42578125" style="31" customWidth="1"/>
    <col min="13572" max="13572" width="12" style="31" customWidth="1"/>
    <col min="13573" max="13573" width="9.7109375" style="31" customWidth="1"/>
    <col min="13574" max="13574" width="8.42578125" style="31" customWidth="1"/>
    <col min="13575" max="13575" width="11.42578125" style="31" customWidth="1"/>
    <col min="13576" max="13576" width="10.28515625" style="31" customWidth="1"/>
    <col min="13577" max="13577" width="11.7109375" style="31" customWidth="1"/>
    <col min="13578" max="13578" width="11.42578125" style="31" customWidth="1"/>
    <col min="13579" max="13579" width="11.28515625" style="31" customWidth="1"/>
    <col min="13580" max="13580" width="13.42578125" style="31" customWidth="1"/>
    <col min="13581" max="13581" width="13.28515625" style="31" customWidth="1"/>
    <col min="13582" max="13582" width="13.140625" style="31" customWidth="1"/>
    <col min="13583" max="13583" width="14.140625" style="31" customWidth="1"/>
    <col min="13584" max="13584" width="6.85546875" style="31" customWidth="1"/>
    <col min="13585" max="13585" width="6" style="31" customWidth="1"/>
    <col min="13586" max="13586" width="6.28515625" style="31" customWidth="1"/>
    <col min="13587" max="13588" width="6.140625" style="31" customWidth="1"/>
    <col min="13589" max="13589" width="4.42578125" style="31" customWidth="1"/>
    <col min="13590" max="13590" width="5.140625" style="31" customWidth="1"/>
    <col min="13591" max="13592" width="6.140625" style="31" customWidth="1"/>
    <col min="13593" max="13593" width="5" style="31" customWidth="1"/>
    <col min="13594" max="13598" width="9.140625" style="31" customWidth="1"/>
    <col min="13599" max="13825" width="9.140625" style="31"/>
    <col min="13826" max="13826" width="10.85546875" style="31" customWidth="1"/>
    <col min="13827" max="13827" width="15.42578125" style="31" customWidth="1"/>
    <col min="13828" max="13828" width="12" style="31" customWidth="1"/>
    <col min="13829" max="13829" width="9.7109375" style="31" customWidth="1"/>
    <col min="13830" max="13830" width="8.42578125" style="31" customWidth="1"/>
    <col min="13831" max="13831" width="11.42578125" style="31" customWidth="1"/>
    <col min="13832" max="13832" width="10.28515625" style="31" customWidth="1"/>
    <col min="13833" max="13833" width="11.7109375" style="31" customWidth="1"/>
    <col min="13834" max="13834" width="11.42578125" style="31" customWidth="1"/>
    <col min="13835" max="13835" width="11.28515625" style="31" customWidth="1"/>
    <col min="13836" max="13836" width="13.42578125" style="31" customWidth="1"/>
    <col min="13837" max="13837" width="13.28515625" style="31" customWidth="1"/>
    <col min="13838" max="13838" width="13.140625" style="31" customWidth="1"/>
    <col min="13839" max="13839" width="14.140625" style="31" customWidth="1"/>
    <col min="13840" max="13840" width="6.85546875" style="31" customWidth="1"/>
    <col min="13841" max="13841" width="6" style="31" customWidth="1"/>
    <col min="13842" max="13842" width="6.28515625" style="31" customWidth="1"/>
    <col min="13843" max="13844" width="6.140625" style="31" customWidth="1"/>
    <col min="13845" max="13845" width="4.42578125" style="31" customWidth="1"/>
    <col min="13846" max="13846" width="5.140625" style="31" customWidth="1"/>
    <col min="13847" max="13848" width="6.140625" style="31" customWidth="1"/>
    <col min="13849" max="13849" width="5" style="31" customWidth="1"/>
    <col min="13850" max="13854" width="9.140625" style="31" customWidth="1"/>
    <col min="13855" max="14081" width="9.140625" style="31"/>
    <col min="14082" max="14082" width="10.85546875" style="31" customWidth="1"/>
    <col min="14083" max="14083" width="15.42578125" style="31" customWidth="1"/>
    <col min="14084" max="14084" width="12" style="31" customWidth="1"/>
    <col min="14085" max="14085" width="9.7109375" style="31" customWidth="1"/>
    <col min="14086" max="14086" width="8.42578125" style="31" customWidth="1"/>
    <col min="14087" max="14087" width="11.42578125" style="31" customWidth="1"/>
    <col min="14088" max="14088" width="10.28515625" style="31" customWidth="1"/>
    <col min="14089" max="14089" width="11.7109375" style="31" customWidth="1"/>
    <col min="14090" max="14090" width="11.42578125" style="31" customWidth="1"/>
    <col min="14091" max="14091" width="11.28515625" style="31" customWidth="1"/>
    <col min="14092" max="14092" width="13.42578125" style="31" customWidth="1"/>
    <col min="14093" max="14093" width="13.28515625" style="31" customWidth="1"/>
    <col min="14094" max="14094" width="13.140625" style="31" customWidth="1"/>
    <col min="14095" max="14095" width="14.140625" style="31" customWidth="1"/>
    <col min="14096" max="14096" width="6.85546875" style="31" customWidth="1"/>
    <col min="14097" max="14097" width="6" style="31" customWidth="1"/>
    <col min="14098" max="14098" width="6.28515625" style="31" customWidth="1"/>
    <col min="14099" max="14100" width="6.140625" style="31" customWidth="1"/>
    <col min="14101" max="14101" width="4.42578125" style="31" customWidth="1"/>
    <col min="14102" max="14102" width="5.140625" style="31" customWidth="1"/>
    <col min="14103" max="14104" width="6.140625" style="31" customWidth="1"/>
    <col min="14105" max="14105" width="5" style="31" customWidth="1"/>
    <col min="14106" max="14110" width="9.140625" style="31" customWidth="1"/>
    <col min="14111" max="14337" width="9.140625" style="31"/>
    <col min="14338" max="14338" width="10.85546875" style="31" customWidth="1"/>
    <col min="14339" max="14339" width="15.42578125" style="31" customWidth="1"/>
    <col min="14340" max="14340" width="12" style="31" customWidth="1"/>
    <col min="14341" max="14341" width="9.7109375" style="31" customWidth="1"/>
    <col min="14342" max="14342" width="8.42578125" style="31" customWidth="1"/>
    <col min="14343" max="14343" width="11.42578125" style="31" customWidth="1"/>
    <col min="14344" max="14344" width="10.28515625" style="31" customWidth="1"/>
    <col min="14345" max="14345" width="11.7109375" style="31" customWidth="1"/>
    <col min="14346" max="14346" width="11.42578125" style="31" customWidth="1"/>
    <col min="14347" max="14347" width="11.28515625" style="31" customWidth="1"/>
    <col min="14348" max="14348" width="13.42578125" style="31" customWidth="1"/>
    <col min="14349" max="14349" width="13.28515625" style="31" customWidth="1"/>
    <col min="14350" max="14350" width="13.140625" style="31" customWidth="1"/>
    <col min="14351" max="14351" width="14.140625" style="31" customWidth="1"/>
    <col min="14352" max="14352" width="6.85546875" style="31" customWidth="1"/>
    <col min="14353" max="14353" width="6" style="31" customWidth="1"/>
    <col min="14354" max="14354" width="6.28515625" style="31" customWidth="1"/>
    <col min="14355" max="14356" width="6.140625" style="31" customWidth="1"/>
    <col min="14357" max="14357" width="4.42578125" style="31" customWidth="1"/>
    <col min="14358" max="14358" width="5.140625" style="31" customWidth="1"/>
    <col min="14359" max="14360" width="6.140625" style="31" customWidth="1"/>
    <col min="14361" max="14361" width="5" style="31" customWidth="1"/>
    <col min="14362" max="14366" width="9.140625" style="31" customWidth="1"/>
    <col min="14367" max="14593" width="9.140625" style="31"/>
    <col min="14594" max="14594" width="10.85546875" style="31" customWidth="1"/>
    <col min="14595" max="14595" width="15.42578125" style="31" customWidth="1"/>
    <col min="14596" max="14596" width="12" style="31" customWidth="1"/>
    <col min="14597" max="14597" width="9.7109375" style="31" customWidth="1"/>
    <col min="14598" max="14598" width="8.42578125" style="31" customWidth="1"/>
    <col min="14599" max="14599" width="11.42578125" style="31" customWidth="1"/>
    <col min="14600" max="14600" width="10.28515625" style="31" customWidth="1"/>
    <col min="14601" max="14601" width="11.7109375" style="31" customWidth="1"/>
    <col min="14602" max="14602" width="11.42578125" style="31" customWidth="1"/>
    <col min="14603" max="14603" width="11.28515625" style="31" customWidth="1"/>
    <col min="14604" max="14604" width="13.42578125" style="31" customWidth="1"/>
    <col min="14605" max="14605" width="13.28515625" style="31" customWidth="1"/>
    <col min="14606" max="14606" width="13.140625" style="31" customWidth="1"/>
    <col min="14607" max="14607" width="14.140625" style="31" customWidth="1"/>
    <col min="14608" max="14608" width="6.85546875" style="31" customWidth="1"/>
    <col min="14609" max="14609" width="6" style="31" customWidth="1"/>
    <col min="14610" max="14610" width="6.28515625" style="31" customWidth="1"/>
    <col min="14611" max="14612" width="6.140625" style="31" customWidth="1"/>
    <col min="14613" max="14613" width="4.42578125" style="31" customWidth="1"/>
    <col min="14614" max="14614" width="5.140625" style="31" customWidth="1"/>
    <col min="14615" max="14616" width="6.140625" style="31" customWidth="1"/>
    <col min="14617" max="14617" width="5" style="31" customWidth="1"/>
    <col min="14618" max="14622" width="9.140625" style="31" customWidth="1"/>
    <col min="14623" max="14849" width="9.140625" style="31"/>
    <col min="14850" max="14850" width="10.85546875" style="31" customWidth="1"/>
    <col min="14851" max="14851" width="15.42578125" style="31" customWidth="1"/>
    <col min="14852" max="14852" width="12" style="31" customWidth="1"/>
    <col min="14853" max="14853" width="9.7109375" style="31" customWidth="1"/>
    <col min="14854" max="14854" width="8.42578125" style="31" customWidth="1"/>
    <col min="14855" max="14855" width="11.42578125" style="31" customWidth="1"/>
    <col min="14856" max="14856" width="10.28515625" style="31" customWidth="1"/>
    <col min="14857" max="14857" width="11.7109375" style="31" customWidth="1"/>
    <col min="14858" max="14858" width="11.42578125" style="31" customWidth="1"/>
    <col min="14859" max="14859" width="11.28515625" style="31" customWidth="1"/>
    <col min="14860" max="14860" width="13.42578125" style="31" customWidth="1"/>
    <col min="14861" max="14861" width="13.28515625" style="31" customWidth="1"/>
    <col min="14862" max="14862" width="13.140625" style="31" customWidth="1"/>
    <col min="14863" max="14863" width="14.140625" style="31" customWidth="1"/>
    <col min="14864" max="14864" width="6.85546875" style="31" customWidth="1"/>
    <col min="14865" max="14865" width="6" style="31" customWidth="1"/>
    <col min="14866" max="14866" width="6.28515625" style="31" customWidth="1"/>
    <col min="14867" max="14868" width="6.140625" style="31" customWidth="1"/>
    <col min="14869" max="14869" width="4.42578125" style="31" customWidth="1"/>
    <col min="14870" max="14870" width="5.140625" style="31" customWidth="1"/>
    <col min="14871" max="14872" width="6.140625" style="31" customWidth="1"/>
    <col min="14873" max="14873" width="5" style="31" customWidth="1"/>
    <col min="14874" max="14878" width="9.140625" style="31" customWidth="1"/>
    <col min="14879" max="15105" width="9.140625" style="31"/>
    <col min="15106" max="15106" width="10.85546875" style="31" customWidth="1"/>
    <col min="15107" max="15107" width="15.42578125" style="31" customWidth="1"/>
    <col min="15108" max="15108" width="12" style="31" customWidth="1"/>
    <col min="15109" max="15109" width="9.7109375" style="31" customWidth="1"/>
    <col min="15110" max="15110" width="8.42578125" style="31" customWidth="1"/>
    <col min="15111" max="15111" width="11.42578125" style="31" customWidth="1"/>
    <col min="15112" max="15112" width="10.28515625" style="31" customWidth="1"/>
    <col min="15113" max="15113" width="11.7109375" style="31" customWidth="1"/>
    <col min="15114" max="15114" width="11.42578125" style="31" customWidth="1"/>
    <col min="15115" max="15115" width="11.28515625" style="31" customWidth="1"/>
    <col min="15116" max="15116" width="13.42578125" style="31" customWidth="1"/>
    <col min="15117" max="15117" width="13.28515625" style="31" customWidth="1"/>
    <col min="15118" max="15118" width="13.140625" style="31" customWidth="1"/>
    <col min="15119" max="15119" width="14.140625" style="31" customWidth="1"/>
    <col min="15120" max="15120" width="6.85546875" style="31" customWidth="1"/>
    <col min="15121" max="15121" width="6" style="31" customWidth="1"/>
    <col min="15122" max="15122" width="6.28515625" style="31" customWidth="1"/>
    <col min="15123" max="15124" width="6.140625" style="31" customWidth="1"/>
    <col min="15125" max="15125" width="4.42578125" style="31" customWidth="1"/>
    <col min="15126" max="15126" width="5.140625" style="31" customWidth="1"/>
    <col min="15127" max="15128" width="6.140625" style="31" customWidth="1"/>
    <col min="15129" max="15129" width="5" style="31" customWidth="1"/>
    <col min="15130" max="15134" width="9.140625" style="31" customWidth="1"/>
    <col min="15135" max="15361" width="9.140625" style="31"/>
    <col min="15362" max="15362" width="10.85546875" style="31" customWidth="1"/>
    <col min="15363" max="15363" width="15.42578125" style="31" customWidth="1"/>
    <col min="15364" max="15364" width="12" style="31" customWidth="1"/>
    <col min="15365" max="15365" width="9.7109375" style="31" customWidth="1"/>
    <col min="15366" max="15366" width="8.42578125" style="31" customWidth="1"/>
    <col min="15367" max="15367" width="11.42578125" style="31" customWidth="1"/>
    <col min="15368" max="15368" width="10.28515625" style="31" customWidth="1"/>
    <col min="15369" max="15369" width="11.7109375" style="31" customWidth="1"/>
    <col min="15370" max="15370" width="11.42578125" style="31" customWidth="1"/>
    <col min="15371" max="15371" width="11.28515625" style="31" customWidth="1"/>
    <col min="15372" max="15372" width="13.42578125" style="31" customWidth="1"/>
    <col min="15373" max="15373" width="13.28515625" style="31" customWidth="1"/>
    <col min="15374" max="15374" width="13.140625" style="31" customWidth="1"/>
    <col min="15375" max="15375" width="14.140625" style="31" customWidth="1"/>
    <col min="15376" max="15376" width="6.85546875" style="31" customWidth="1"/>
    <col min="15377" max="15377" width="6" style="31" customWidth="1"/>
    <col min="15378" max="15378" width="6.28515625" style="31" customWidth="1"/>
    <col min="15379" max="15380" width="6.140625" style="31" customWidth="1"/>
    <col min="15381" max="15381" width="4.42578125" style="31" customWidth="1"/>
    <col min="15382" max="15382" width="5.140625" style="31" customWidth="1"/>
    <col min="15383" max="15384" width="6.140625" style="31" customWidth="1"/>
    <col min="15385" max="15385" width="5" style="31" customWidth="1"/>
    <col min="15386" max="15390" width="9.140625" style="31" customWidth="1"/>
    <col min="15391" max="15617" width="9.140625" style="31"/>
    <col min="15618" max="15618" width="10.85546875" style="31" customWidth="1"/>
    <col min="15619" max="15619" width="15.42578125" style="31" customWidth="1"/>
    <col min="15620" max="15620" width="12" style="31" customWidth="1"/>
    <col min="15621" max="15621" width="9.7109375" style="31" customWidth="1"/>
    <col min="15622" max="15622" width="8.42578125" style="31" customWidth="1"/>
    <col min="15623" max="15623" width="11.42578125" style="31" customWidth="1"/>
    <col min="15624" max="15624" width="10.28515625" style="31" customWidth="1"/>
    <col min="15625" max="15625" width="11.7109375" style="31" customWidth="1"/>
    <col min="15626" max="15626" width="11.42578125" style="31" customWidth="1"/>
    <col min="15627" max="15627" width="11.28515625" style="31" customWidth="1"/>
    <col min="15628" max="15628" width="13.42578125" style="31" customWidth="1"/>
    <col min="15629" max="15629" width="13.28515625" style="31" customWidth="1"/>
    <col min="15630" max="15630" width="13.140625" style="31" customWidth="1"/>
    <col min="15631" max="15631" width="14.140625" style="31" customWidth="1"/>
    <col min="15632" max="15632" width="6.85546875" style="31" customWidth="1"/>
    <col min="15633" max="15633" width="6" style="31" customWidth="1"/>
    <col min="15634" max="15634" width="6.28515625" style="31" customWidth="1"/>
    <col min="15635" max="15636" width="6.140625" style="31" customWidth="1"/>
    <col min="15637" max="15637" width="4.42578125" style="31" customWidth="1"/>
    <col min="15638" max="15638" width="5.140625" style="31" customWidth="1"/>
    <col min="15639" max="15640" width="6.140625" style="31" customWidth="1"/>
    <col min="15641" max="15641" width="5" style="31" customWidth="1"/>
    <col min="15642" max="15646" width="9.140625" style="31" customWidth="1"/>
    <col min="15647" max="15873" width="9.140625" style="31"/>
    <col min="15874" max="15874" width="10.85546875" style="31" customWidth="1"/>
    <col min="15875" max="15875" width="15.42578125" style="31" customWidth="1"/>
    <col min="15876" max="15876" width="12" style="31" customWidth="1"/>
    <col min="15877" max="15877" width="9.7109375" style="31" customWidth="1"/>
    <col min="15878" max="15878" width="8.42578125" style="31" customWidth="1"/>
    <col min="15879" max="15879" width="11.42578125" style="31" customWidth="1"/>
    <col min="15880" max="15880" width="10.28515625" style="31" customWidth="1"/>
    <col min="15881" max="15881" width="11.7109375" style="31" customWidth="1"/>
    <col min="15882" max="15882" width="11.42578125" style="31" customWidth="1"/>
    <col min="15883" max="15883" width="11.28515625" style="31" customWidth="1"/>
    <col min="15884" max="15884" width="13.42578125" style="31" customWidth="1"/>
    <col min="15885" max="15885" width="13.28515625" style="31" customWidth="1"/>
    <col min="15886" max="15886" width="13.140625" style="31" customWidth="1"/>
    <col min="15887" max="15887" width="14.140625" style="31" customWidth="1"/>
    <col min="15888" max="15888" width="6.85546875" style="31" customWidth="1"/>
    <col min="15889" max="15889" width="6" style="31" customWidth="1"/>
    <col min="15890" max="15890" width="6.28515625" style="31" customWidth="1"/>
    <col min="15891" max="15892" width="6.140625" style="31" customWidth="1"/>
    <col min="15893" max="15893" width="4.42578125" style="31" customWidth="1"/>
    <col min="15894" max="15894" width="5.140625" style="31" customWidth="1"/>
    <col min="15895" max="15896" width="6.140625" style="31" customWidth="1"/>
    <col min="15897" max="15897" width="5" style="31" customWidth="1"/>
    <col min="15898" max="15902" width="9.140625" style="31" customWidth="1"/>
    <col min="15903" max="16129" width="9.140625" style="31"/>
    <col min="16130" max="16130" width="10.85546875" style="31" customWidth="1"/>
    <col min="16131" max="16131" width="15.42578125" style="31" customWidth="1"/>
    <col min="16132" max="16132" width="12" style="31" customWidth="1"/>
    <col min="16133" max="16133" width="9.7109375" style="31" customWidth="1"/>
    <col min="16134" max="16134" width="8.42578125" style="31" customWidth="1"/>
    <col min="16135" max="16135" width="11.42578125" style="31" customWidth="1"/>
    <col min="16136" max="16136" width="10.28515625" style="31" customWidth="1"/>
    <col min="16137" max="16137" width="11.7109375" style="31" customWidth="1"/>
    <col min="16138" max="16138" width="11.42578125" style="31" customWidth="1"/>
    <col min="16139" max="16139" width="11.28515625" style="31" customWidth="1"/>
    <col min="16140" max="16140" width="13.42578125" style="31" customWidth="1"/>
    <col min="16141" max="16141" width="13.28515625" style="31" customWidth="1"/>
    <col min="16142" max="16142" width="13.140625" style="31" customWidth="1"/>
    <col min="16143" max="16143" width="14.140625" style="31" customWidth="1"/>
    <col min="16144" max="16144" width="6.85546875" style="31" customWidth="1"/>
    <col min="16145" max="16145" width="6" style="31" customWidth="1"/>
    <col min="16146" max="16146" width="6.28515625" style="31" customWidth="1"/>
    <col min="16147" max="16148" width="6.140625" style="31" customWidth="1"/>
    <col min="16149" max="16149" width="4.42578125" style="31" customWidth="1"/>
    <col min="16150" max="16150" width="5.140625" style="31" customWidth="1"/>
    <col min="16151" max="16152" width="6.140625" style="31" customWidth="1"/>
    <col min="16153" max="16153" width="5" style="31" customWidth="1"/>
    <col min="16154" max="16158" width="9.140625" style="31" customWidth="1"/>
    <col min="16159" max="16384" width="9.140625" style="31"/>
  </cols>
  <sheetData>
    <row r="1" spans="1:25" ht="15.75" x14ac:dyDescent="0.25">
      <c r="Y1" s="520" t="s">
        <v>547</v>
      </c>
    </row>
    <row r="2" spans="1:25" ht="15.75" x14ac:dyDescent="0.25">
      <c r="Y2" s="520" t="s">
        <v>546</v>
      </c>
    </row>
    <row r="3" spans="1:25" ht="65.25" customHeight="1" x14ac:dyDescent="0.3">
      <c r="C3" s="585"/>
      <c r="D3" s="585"/>
      <c r="E3" s="106"/>
      <c r="F3" s="106"/>
      <c r="G3" s="106"/>
      <c r="P3" s="586" t="s">
        <v>286</v>
      </c>
      <c r="Q3" s="587"/>
      <c r="R3" s="587"/>
      <c r="S3" s="587"/>
      <c r="T3" s="587"/>
      <c r="U3" s="587"/>
      <c r="V3" s="587"/>
      <c r="W3" s="587"/>
      <c r="X3" s="587"/>
      <c r="Y3" s="587"/>
    </row>
    <row r="4" spans="1:25" ht="10.5" customHeight="1" x14ac:dyDescent="0.3">
      <c r="C4" s="107"/>
      <c r="D4" s="107"/>
      <c r="E4" s="106"/>
      <c r="F4" s="106"/>
      <c r="G4" s="106"/>
      <c r="P4" s="108"/>
      <c r="Q4" s="109"/>
      <c r="R4" s="109"/>
      <c r="S4" s="109"/>
      <c r="T4" s="109"/>
      <c r="U4" s="109"/>
      <c r="V4" s="109"/>
      <c r="W4" s="109"/>
      <c r="X4" s="109"/>
      <c r="Y4" s="109"/>
    </row>
    <row r="5" spans="1:25" ht="14.25" customHeight="1" x14ac:dyDescent="0.3">
      <c r="B5" s="582" t="s">
        <v>166</v>
      </c>
      <c r="C5" s="582"/>
      <c r="D5" s="582"/>
      <c r="E5" s="582"/>
      <c r="F5" s="106"/>
      <c r="G5" s="106"/>
      <c r="O5" s="588" t="s">
        <v>287</v>
      </c>
      <c r="P5" s="588"/>
      <c r="Q5" s="588"/>
      <c r="R5" s="588"/>
      <c r="S5" s="110"/>
      <c r="T5" s="110"/>
      <c r="U5" s="109"/>
      <c r="V5" s="109"/>
      <c r="W5" s="109"/>
      <c r="X5" s="109"/>
      <c r="Y5" s="109"/>
    </row>
    <row r="6" spans="1:25" ht="14.25" customHeight="1" x14ac:dyDescent="0.3">
      <c r="B6" s="589" t="s">
        <v>288</v>
      </c>
      <c r="C6" s="589"/>
      <c r="D6" s="589"/>
      <c r="E6" s="589"/>
      <c r="F6" s="106"/>
      <c r="G6" s="106"/>
      <c r="O6" s="111" t="s">
        <v>289</v>
      </c>
      <c r="P6" s="111"/>
      <c r="Q6" s="111"/>
      <c r="R6" s="111"/>
      <c r="S6" s="110"/>
      <c r="T6" s="110"/>
      <c r="U6" s="109"/>
      <c r="V6" s="109"/>
      <c r="W6" s="109"/>
      <c r="X6" s="109"/>
      <c r="Y6" s="109"/>
    </row>
    <row r="7" spans="1:25" ht="14.25" customHeight="1" x14ac:dyDescent="0.3">
      <c r="B7" s="590" t="s">
        <v>290</v>
      </c>
      <c r="C7" s="590"/>
      <c r="D7" s="590"/>
      <c r="E7" s="590"/>
      <c r="F7" s="106"/>
      <c r="G7" s="106"/>
      <c r="O7" s="591" t="s">
        <v>291</v>
      </c>
      <c r="P7" s="591"/>
      <c r="Q7" s="591"/>
      <c r="R7" s="591"/>
      <c r="S7" s="110"/>
      <c r="T7" s="110"/>
      <c r="U7" s="109"/>
      <c r="V7" s="109"/>
      <c r="W7" s="109"/>
      <c r="X7" s="109"/>
      <c r="Y7" s="109"/>
    </row>
    <row r="8" spans="1:25" ht="14.25" customHeight="1" x14ac:dyDescent="0.3">
      <c r="B8" s="112"/>
      <c r="C8" s="112"/>
      <c r="D8" s="582"/>
      <c r="E8" s="582"/>
      <c r="F8" s="106"/>
      <c r="G8" s="106"/>
      <c r="O8" s="82"/>
      <c r="P8" s="82"/>
      <c r="Q8" s="82"/>
      <c r="R8" s="82"/>
      <c r="S8" s="110"/>
      <c r="T8" s="110"/>
      <c r="U8" s="109"/>
      <c r="V8" s="109"/>
      <c r="W8" s="109"/>
      <c r="X8" s="109"/>
      <c r="Y8" s="109"/>
    </row>
    <row r="9" spans="1:25" ht="14.25" customHeight="1" x14ac:dyDescent="0.3">
      <c r="B9" s="583" t="s">
        <v>292</v>
      </c>
      <c r="C9" s="583"/>
      <c r="D9" s="583"/>
      <c r="E9" s="583"/>
      <c r="F9" s="106"/>
      <c r="G9" s="106"/>
      <c r="O9" s="111" t="s">
        <v>289</v>
      </c>
      <c r="P9" s="111"/>
      <c r="Q9" s="111"/>
      <c r="R9" s="111"/>
      <c r="S9" s="110"/>
      <c r="T9" s="110"/>
      <c r="U9" s="109"/>
      <c r="V9" s="109"/>
      <c r="W9" s="109"/>
      <c r="X9" s="109"/>
      <c r="Y9" s="109"/>
    </row>
    <row r="10" spans="1:25" ht="14.25" customHeight="1" x14ac:dyDescent="0.3">
      <c r="B10" s="113" t="s">
        <v>175</v>
      </c>
      <c r="C10" s="114"/>
      <c r="D10" s="114"/>
      <c r="E10" s="114"/>
      <c r="F10" s="106"/>
      <c r="G10" s="106"/>
      <c r="O10" s="115" t="s">
        <v>283</v>
      </c>
      <c r="P10" s="116"/>
      <c r="Q10" s="584" t="s">
        <v>293</v>
      </c>
      <c r="R10" s="584"/>
      <c r="U10" s="109"/>
      <c r="V10" s="109"/>
      <c r="W10" s="109"/>
      <c r="X10" s="109"/>
      <c r="Y10" s="109"/>
    </row>
    <row r="11" spans="1:25" ht="14.25" customHeight="1" x14ac:dyDescent="0.3">
      <c r="C11" s="107"/>
      <c r="D11" s="107"/>
      <c r="E11" s="106"/>
      <c r="F11" s="106"/>
      <c r="G11" s="106"/>
      <c r="O11" s="583" t="s">
        <v>294</v>
      </c>
      <c r="P11" s="583"/>
      <c r="Q11" s="583"/>
      <c r="R11" s="583"/>
      <c r="S11" s="583"/>
      <c r="T11" s="583"/>
      <c r="U11" s="109"/>
      <c r="V11" s="109"/>
      <c r="W11" s="109"/>
      <c r="X11" s="109"/>
      <c r="Y11" s="109"/>
    </row>
    <row r="12" spans="1:25" ht="14.25" customHeight="1" x14ac:dyDescent="0.3">
      <c r="C12" s="107"/>
      <c r="D12" s="107"/>
      <c r="E12" s="106"/>
      <c r="F12" s="106"/>
      <c r="G12" s="106"/>
      <c r="O12" s="113" t="s">
        <v>175</v>
      </c>
      <c r="P12" s="114"/>
      <c r="Q12" s="114"/>
      <c r="R12" s="114"/>
      <c r="S12" s="110"/>
      <c r="T12" s="110"/>
      <c r="U12" s="109"/>
      <c r="V12" s="109"/>
      <c r="W12" s="109"/>
      <c r="X12" s="109"/>
      <c r="Y12" s="109"/>
    </row>
    <row r="13" spans="1:25" ht="9" customHeight="1" x14ac:dyDescent="0.3">
      <c r="C13" s="107"/>
      <c r="D13" s="107"/>
      <c r="E13" s="106"/>
      <c r="F13" s="106"/>
      <c r="G13" s="106"/>
      <c r="P13" s="108"/>
      <c r="Q13" s="109"/>
      <c r="R13" s="109"/>
      <c r="S13" s="109"/>
      <c r="T13" s="109"/>
      <c r="U13" s="109"/>
      <c r="V13" s="109"/>
      <c r="W13" s="109"/>
      <c r="X13" s="109"/>
      <c r="Y13" s="109"/>
    </row>
    <row r="14" spans="1:25" ht="18" customHeight="1" x14ac:dyDescent="0.25">
      <c r="A14" s="524" t="s">
        <v>104</v>
      </c>
      <c r="B14" s="524"/>
      <c r="C14" s="524"/>
      <c r="D14" s="524"/>
      <c r="E14" s="524"/>
      <c r="F14" s="524"/>
      <c r="G14" s="524"/>
      <c r="H14" s="524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117"/>
      <c r="X14" s="117"/>
    </row>
    <row r="15" spans="1:25" ht="18" customHeight="1" x14ac:dyDescent="0.25">
      <c r="A15" s="524" t="s">
        <v>295</v>
      </c>
      <c r="B15" s="524"/>
      <c r="C15" s="524"/>
      <c r="D15" s="524"/>
      <c r="E15" s="524"/>
      <c r="F15" s="524"/>
      <c r="G15" s="524"/>
      <c r="H15" s="524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</row>
    <row r="16" spans="1:25" ht="18.600000000000001" customHeight="1" x14ac:dyDescent="0.25">
      <c r="A16" s="599" t="s">
        <v>296</v>
      </c>
      <c r="B16" s="599"/>
      <c r="C16" s="599"/>
      <c r="D16" s="599"/>
      <c r="E16" s="599"/>
      <c r="F16" s="599"/>
      <c r="G16" s="599"/>
      <c r="H16" s="599"/>
      <c r="I16" s="599"/>
      <c r="J16" s="599"/>
      <c r="K16" s="599"/>
      <c r="L16" s="599"/>
      <c r="M16" s="599"/>
      <c r="N16" s="599"/>
      <c r="O16" s="599"/>
      <c r="P16" s="599"/>
      <c r="Q16" s="599"/>
      <c r="R16" s="599"/>
      <c r="S16" s="599"/>
      <c r="T16" s="599"/>
      <c r="U16" s="599"/>
      <c r="V16" s="599"/>
      <c r="W16" s="39"/>
      <c r="X16" s="39"/>
    </row>
    <row r="17" spans="1:32" ht="17.45" customHeight="1" x14ac:dyDescent="0.2">
      <c r="A17" s="600" t="s">
        <v>107</v>
      </c>
      <c r="B17" s="600"/>
      <c r="C17" s="600"/>
      <c r="D17" s="600"/>
      <c r="E17" s="600"/>
      <c r="F17" s="600"/>
      <c r="G17" s="600"/>
      <c r="H17" s="600"/>
      <c r="I17" s="600"/>
      <c r="J17" s="600"/>
      <c r="K17" s="600"/>
      <c r="L17" s="600"/>
      <c r="M17" s="600"/>
      <c r="N17" s="600"/>
      <c r="O17" s="600"/>
      <c r="P17" s="600"/>
      <c r="Q17" s="600"/>
      <c r="R17" s="600"/>
      <c r="S17" s="600"/>
      <c r="T17" s="600"/>
      <c r="U17" s="600"/>
      <c r="V17" s="600"/>
      <c r="W17" s="600"/>
      <c r="X17" s="600"/>
      <c r="Y17" s="600"/>
    </row>
    <row r="18" spans="1:32" ht="54" customHeight="1" x14ac:dyDescent="0.2">
      <c r="A18" s="596" t="s">
        <v>108</v>
      </c>
      <c r="B18" s="596" t="s">
        <v>109</v>
      </c>
      <c r="C18" s="596" t="s">
        <v>110</v>
      </c>
      <c r="D18" s="603" t="s">
        <v>111</v>
      </c>
      <c r="E18" s="604"/>
      <c r="F18" s="604"/>
      <c r="G18" s="604"/>
      <c r="H18" s="604"/>
      <c r="I18" s="604"/>
      <c r="J18" s="604"/>
      <c r="K18" s="605"/>
      <c r="L18" s="606" t="s">
        <v>297</v>
      </c>
      <c r="M18" s="606" t="s">
        <v>113</v>
      </c>
      <c r="N18" s="596" t="s">
        <v>114</v>
      </c>
      <c r="O18" s="592" t="s">
        <v>298</v>
      </c>
      <c r="P18" s="592"/>
      <c r="Q18" s="592" t="s">
        <v>115</v>
      </c>
      <c r="R18" s="592"/>
      <c r="S18" s="592"/>
      <c r="T18" s="592"/>
      <c r="U18" s="593" t="s">
        <v>299</v>
      </c>
      <c r="V18" s="593" t="s">
        <v>184</v>
      </c>
      <c r="W18" s="593" t="s">
        <v>300</v>
      </c>
      <c r="X18" s="593" t="s">
        <v>301</v>
      </c>
      <c r="Y18" s="593" t="s">
        <v>302</v>
      </c>
    </row>
    <row r="19" spans="1:32" ht="15.75" customHeight="1" x14ac:dyDescent="0.2">
      <c r="A19" s="597"/>
      <c r="B19" s="597"/>
      <c r="C19" s="601"/>
      <c r="D19" s="596" t="s">
        <v>116</v>
      </c>
      <c r="E19" s="612" t="s">
        <v>117</v>
      </c>
      <c r="F19" s="612"/>
      <c r="G19" s="612"/>
      <c r="H19" s="612"/>
      <c r="I19" s="612"/>
      <c r="J19" s="612"/>
      <c r="K19" s="612"/>
      <c r="L19" s="607"/>
      <c r="M19" s="607"/>
      <c r="N19" s="597"/>
      <c r="O19" s="596" t="s">
        <v>303</v>
      </c>
      <c r="P19" s="596" t="s">
        <v>304</v>
      </c>
      <c r="Q19" s="596" t="s">
        <v>305</v>
      </c>
      <c r="R19" s="596" t="s">
        <v>306</v>
      </c>
      <c r="S19" s="596" t="s">
        <v>307</v>
      </c>
      <c r="T19" s="596" t="s">
        <v>308</v>
      </c>
      <c r="U19" s="594"/>
      <c r="V19" s="594"/>
      <c r="W19" s="594"/>
      <c r="X19" s="594"/>
      <c r="Y19" s="594"/>
    </row>
    <row r="20" spans="1:32" ht="51" customHeight="1" x14ac:dyDescent="0.2">
      <c r="A20" s="597"/>
      <c r="B20" s="597"/>
      <c r="C20" s="601"/>
      <c r="D20" s="597"/>
      <c r="E20" s="613" t="s">
        <v>118</v>
      </c>
      <c r="F20" s="613" t="s">
        <v>119</v>
      </c>
      <c r="G20" s="613" t="s">
        <v>381</v>
      </c>
      <c r="H20" s="613" t="s">
        <v>309</v>
      </c>
      <c r="I20" s="613" t="s">
        <v>310</v>
      </c>
      <c r="J20" s="603" t="s">
        <v>122</v>
      </c>
      <c r="K20" s="605"/>
      <c r="L20" s="607"/>
      <c r="M20" s="607"/>
      <c r="N20" s="597"/>
      <c r="O20" s="597"/>
      <c r="P20" s="597"/>
      <c r="Q20" s="597"/>
      <c r="R20" s="597"/>
      <c r="S20" s="597"/>
      <c r="T20" s="597"/>
      <c r="U20" s="594"/>
      <c r="V20" s="594"/>
      <c r="W20" s="594"/>
      <c r="X20" s="594"/>
      <c r="Y20" s="594"/>
      <c r="Z20" s="32"/>
      <c r="AE20" s="30"/>
      <c r="AF20" s="30"/>
    </row>
    <row r="21" spans="1:32" ht="105" customHeight="1" x14ac:dyDescent="0.2">
      <c r="A21" s="598"/>
      <c r="B21" s="598"/>
      <c r="C21" s="602"/>
      <c r="D21" s="598"/>
      <c r="E21" s="613"/>
      <c r="F21" s="613"/>
      <c r="G21" s="613"/>
      <c r="H21" s="613"/>
      <c r="I21" s="613"/>
      <c r="J21" s="118" t="s">
        <v>123</v>
      </c>
      <c r="K21" s="118" t="s">
        <v>124</v>
      </c>
      <c r="L21" s="608"/>
      <c r="M21" s="608"/>
      <c r="N21" s="598"/>
      <c r="O21" s="598"/>
      <c r="P21" s="598"/>
      <c r="Q21" s="598"/>
      <c r="R21" s="598"/>
      <c r="S21" s="598"/>
      <c r="T21" s="598"/>
      <c r="U21" s="595"/>
      <c r="V21" s="595"/>
      <c r="W21" s="595"/>
      <c r="X21" s="595"/>
      <c r="Y21" s="595"/>
      <c r="Z21" s="32"/>
      <c r="AA21" s="540"/>
      <c r="AB21" s="540"/>
      <c r="AC21" s="540"/>
      <c r="AD21" s="540"/>
      <c r="AE21" s="540"/>
      <c r="AF21" s="30"/>
    </row>
    <row r="22" spans="1:32" s="39" customFormat="1" ht="15.75" customHeight="1" x14ac:dyDescent="0.2">
      <c r="A22" s="119">
        <v>1</v>
      </c>
      <c r="B22" s="119">
        <v>2</v>
      </c>
      <c r="C22" s="119">
        <v>3</v>
      </c>
      <c r="D22" s="119">
        <v>4</v>
      </c>
      <c r="E22" s="119">
        <v>5</v>
      </c>
      <c r="F22" s="119">
        <v>6</v>
      </c>
      <c r="G22" s="119"/>
      <c r="H22" s="120">
        <v>7</v>
      </c>
      <c r="I22" s="119">
        <v>8</v>
      </c>
      <c r="J22" s="119">
        <v>9</v>
      </c>
      <c r="K22" s="119">
        <v>10</v>
      </c>
      <c r="L22" s="121">
        <v>11</v>
      </c>
      <c r="M22" s="121">
        <v>12</v>
      </c>
      <c r="N22" s="121">
        <v>13</v>
      </c>
      <c r="O22" s="122">
        <v>14</v>
      </c>
      <c r="P22" s="122">
        <v>15</v>
      </c>
      <c r="Q22" s="122">
        <v>16</v>
      </c>
      <c r="R22" s="122">
        <v>17</v>
      </c>
      <c r="S22" s="122">
        <v>18</v>
      </c>
      <c r="T22" s="122">
        <v>19</v>
      </c>
      <c r="U22" s="122">
        <v>20</v>
      </c>
      <c r="V22" s="122">
        <v>21</v>
      </c>
      <c r="W22" s="122">
        <v>22</v>
      </c>
      <c r="X22" s="122">
        <v>23</v>
      </c>
      <c r="Y22" s="122">
        <v>24</v>
      </c>
      <c r="Z22" s="37"/>
      <c r="AA22" s="540"/>
      <c r="AB22" s="540"/>
      <c r="AC22" s="540"/>
      <c r="AD22" s="540"/>
      <c r="AE22" s="540"/>
      <c r="AF22" s="38"/>
    </row>
    <row r="23" spans="1:32" ht="18.75" customHeight="1" x14ac:dyDescent="0.2">
      <c r="A23" s="119" t="s">
        <v>205</v>
      </c>
      <c r="B23" s="609" t="s">
        <v>206</v>
      </c>
      <c r="C23" s="610"/>
      <c r="D23" s="610"/>
      <c r="E23" s="610"/>
      <c r="F23" s="610"/>
      <c r="G23" s="610"/>
      <c r="H23" s="610"/>
      <c r="I23" s="610"/>
      <c r="J23" s="610"/>
      <c r="K23" s="610"/>
      <c r="L23" s="610"/>
      <c r="M23" s="610"/>
      <c r="N23" s="610"/>
      <c r="O23" s="610"/>
      <c r="P23" s="610"/>
      <c r="Q23" s="610"/>
      <c r="R23" s="610"/>
      <c r="S23" s="610"/>
      <c r="T23" s="610"/>
      <c r="U23" s="610"/>
      <c r="V23" s="610"/>
      <c r="W23" s="610"/>
      <c r="X23" s="610"/>
      <c r="Y23" s="611"/>
      <c r="Z23" s="40"/>
      <c r="AA23" s="540"/>
      <c r="AB23" s="540"/>
      <c r="AC23" s="540"/>
      <c r="AD23" s="540"/>
      <c r="AE23" s="540"/>
      <c r="AF23" s="30"/>
    </row>
    <row r="24" spans="1:32" ht="18" hidden="1" customHeight="1" outlineLevel="1" x14ac:dyDescent="0.2">
      <c r="A24" s="123" t="s">
        <v>207</v>
      </c>
      <c r="B24" s="609" t="s">
        <v>311</v>
      </c>
      <c r="C24" s="610"/>
      <c r="D24" s="610"/>
      <c r="E24" s="610"/>
      <c r="F24" s="610"/>
      <c r="G24" s="610"/>
      <c r="H24" s="610"/>
      <c r="I24" s="610"/>
      <c r="J24" s="610"/>
      <c r="K24" s="610"/>
      <c r="L24" s="610"/>
      <c r="M24" s="610"/>
      <c r="N24" s="610"/>
      <c r="O24" s="610"/>
      <c r="P24" s="610"/>
      <c r="Q24" s="610"/>
      <c r="R24" s="610"/>
      <c r="S24" s="610"/>
      <c r="T24" s="610"/>
      <c r="U24" s="610"/>
      <c r="V24" s="610"/>
      <c r="W24" s="610"/>
      <c r="X24" s="610"/>
      <c r="Y24" s="611"/>
      <c r="Z24" s="42"/>
      <c r="AA24" s="540"/>
      <c r="AB24" s="540"/>
      <c r="AC24" s="540"/>
      <c r="AD24" s="540"/>
      <c r="AE24" s="540"/>
      <c r="AF24" s="30"/>
    </row>
    <row r="25" spans="1:32" ht="15.75" hidden="1" customHeight="1" outlineLevel="1" x14ac:dyDescent="0.2">
      <c r="A25" s="124" t="s">
        <v>312</v>
      </c>
      <c r="B25" s="620" t="s">
        <v>128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2"/>
      <c r="Z25" s="42"/>
      <c r="AA25" s="44"/>
      <c r="AB25" s="44"/>
      <c r="AE25" s="30"/>
      <c r="AF25" s="30"/>
    </row>
    <row r="26" spans="1:32" ht="15.75" hidden="1" customHeight="1" outlineLevel="1" x14ac:dyDescent="0.2">
      <c r="A26" s="124"/>
      <c r="B26" s="168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70"/>
      <c r="Z26" s="44"/>
      <c r="AA26" s="44"/>
      <c r="AB26" s="44"/>
      <c r="AE26" s="30"/>
      <c r="AF26" s="30"/>
    </row>
    <row r="27" spans="1:32" hidden="1" outlineLevel="1" x14ac:dyDescent="0.2">
      <c r="A27" s="119"/>
      <c r="B27" s="119"/>
      <c r="C27" s="119"/>
      <c r="D27" s="119"/>
      <c r="E27" s="125" t="s">
        <v>313</v>
      </c>
      <c r="F27" s="125" t="s">
        <v>313</v>
      </c>
      <c r="G27" s="125"/>
      <c r="H27" s="125" t="s">
        <v>313</v>
      </c>
      <c r="I27" s="125" t="s">
        <v>313</v>
      </c>
      <c r="J27" s="125" t="s">
        <v>313</v>
      </c>
      <c r="K27" s="125" t="s">
        <v>313</v>
      </c>
      <c r="L27" s="125" t="s">
        <v>313</v>
      </c>
      <c r="M27" s="125" t="s">
        <v>313</v>
      </c>
      <c r="N27" s="125" t="s">
        <v>313</v>
      </c>
      <c r="O27" s="119"/>
      <c r="P27" s="119"/>
      <c r="Q27" s="126"/>
      <c r="R27" s="126"/>
      <c r="S27" s="119"/>
      <c r="T27" s="119"/>
      <c r="U27" s="119"/>
      <c r="V27" s="119"/>
      <c r="W27" s="119"/>
      <c r="X27" s="119"/>
      <c r="Y27" s="119"/>
      <c r="Z27" s="51"/>
      <c r="AA27" s="51"/>
      <c r="AB27" s="51"/>
    </row>
    <row r="28" spans="1:32" ht="12" hidden="1" customHeight="1" outlineLevel="1" x14ac:dyDescent="0.2">
      <c r="A28" s="614" t="s">
        <v>211</v>
      </c>
      <c r="B28" s="615"/>
      <c r="C28" s="616"/>
      <c r="D28" s="127"/>
      <c r="E28" s="128" t="s">
        <v>313</v>
      </c>
      <c r="F28" s="128" t="s">
        <v>313</v>
      </c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6"/>
      <c r="R28" s="126"/>
      <c r="S28" s="128"/>
      <c r="T28" s="128"/>
      <c r="U28" s="128"/>
      <c r="V28" s="128"/>
      <c r="W28" s="128"/>
      <c r="X28" s="128"/>
      <c r="Y28" s="128"/>
      <c r="Z28" s="38"/>
      <c r="AA28" s="38"/>
      <c r="AB28" s="38"/>
    </row>
    <row r="29" spans="1:32" ht="15.75" hidden="1" customHeight="1" outlineLevel="1" x14ac:dyDescent="0.2">
      <c r="A29" s="128" t="s">
        <v>314</v>
      </c>
      <c r="B29" s="620" t="s">
        <v>145</v>
      </c>
      <c r="C29" s="621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2"/>
      <c r="Z29" s="57"/>
      <c r="AA29" s="57"/>
      <c r="AB29" s="57"/>
    </row>
    <row r="30" spans="1:32" hidden="1" outlineLevel="1" x14ac:dyDescent="0.2">
      <c r="A30" s="119"/>
      <c r="B30" s="119"/>
      <c r="C30" s="119"/>
      <c r="D30" s="119"/>
      <c r="E30" s="125" t="s">
        <v>313</v>
      </c>
      <c r="F30" s="125" t="s">
        <v>313</v>
      </c>
      <c r="G30" s="125"/>
      <c r="H30" s="125" t="s">
        <v>313</v>
      </c>
      <c r="I30" s="125" t="s">
        <v>313</v>
      </c>
      <c r="J30" s="125" t="s">
        <v>313</v>
      </c>
      <c r="K30" s="125" t="s">
        <v>313</v>
      </c>
      <c r="L30" s="125" t="s">
        <v>313</v>
      </c>
      <c r="M30" s="125" t="s">
        <v>313</v>
      </c>
      <c r="N30" s="125" t="s">
        <v>313</v>
      </c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51"/>
      <c r="AA30" s="51"/>
      <c r="AB30" s="51"/>
    </row>
    <row r="31" spans="1:32" ht="11.25" hidden="1" customHeight="1" outlineLevel="1" x14ac:dyDescent="0.2">
      <c r="A31" s="614" t="s">
        <v>213</v>
      </c>
      <c r="B31" s="615"/>
      <c r="C31" s="616"/>
      <c r="D31" s="128"/>
      <c r="E31" s="128" t="s">
        <v>313</v>
      </c>
      <c r="F31" s="128" t="s">
        <v>313</v>
      </c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9"/>
      <c r="R31" s="129"/>
      <c r="S31" s="128"/>
      <c r="T31" s="128"/>
      <c r="U31" s="128"/>
      <c r="V31" s="128"/>
      <c r="W31" s="128"/>
      <c r="X31" s="128"/>
      <c r="Y31" s="128"/>
      <c r="Z31" s="38"/>
      <c r="AA31" s="38"/>
      <c r="AB31" s="38"/>
    </row>
    <row r="32" spans="1:32" hidden="1" outlineLevel="1" x14ac:dyDescent="0.2">
      <c r="A32" s="123" t="s">
        <v>315</v>
      </c>
      <c r="B32" s="614" t="s">
        <v>214</v>
      </c>
      <c r="C32" s="615"/>
      <c r="D32" s="615"/>
      <c r="E32" s="615"/>
      <c r="F32" s="615"/>
      <c r="G32" s="615"/>
      <c r="H32" s="615"/>
      <c r="I32" s="615"/>
      <c r="J32" s="615"/>
      <c r="K32" s="615"/>
      <c r="L32" s="615"/>
      <c r="M32" s="615"/>
      <c r="N32" s="615"/>
      <c r="O32" s="615"/>
      <c r="P32" s="615"/>
      <c r="Q32" s="615"/>
      <c r="R32" s="615"/>
      <c r="S32" s="615"/>
      <c r="T32" s="615"/>
      <c r="U32" s="615"/>
      <c r="V32" s="615"/>
      <c r="W32" s="615"/>
      <c r="X32" s="615"/>
      <c r="Y32" s="616"/>
      <c r="Z32" s="57"/>
      <c r="AA32" s="57"/>
      <c r="AB32" s="57"/>
    </row>
    <row r="33" spans="1:32" hidden="1" outlineLevel="1" x14ac:dyDescent="0.2">
      <c r="A33" s="119"/>
      <c r="B33" s="119"/>
      <c r="C33" s="119"/>
      <c r="D33" s="119"/>
      <c r="E33" s="125" t="s">
        <v>313</v>
      </c>
      <c r="F33" s="125" t="s">
        <v>313</v>
      </c>
      <c r="G33" s="125"/>
      <c r="H33" s="125" t="s">
        <v>313</v>
      </c>
      <c r="I33" s="125" t="s">
        <v>313</v>
      </c>
      <c r="J33" s="125" t="s">
        <v>313</v>
      </c>
      <c r="K33" s="125" t="s">
        <v>313</v>
      </c>
      <c r="L33" s="125" t="s">
        <v>313</v>
      </c>
      <c r="M33" s="125" t="s">
        <v>313</v>
      </c>
      <c r="N33" s="125" t="s">
        <v>313</v>
      </c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51"/>
      <c r="AA33" s="51"/>
      <c r="AB33" s="51"/>
    </row>
    <row r="34" spans="1:32" ht="12" hidden="1" customHeight="1" outlineLevel="1" x14ac:dyDescent="0.2">
      <c r="A34" s="614" t="s">
        <v>215</v>
      </c>
      <c r="B34" s="615"/>
      <c r="C34" s="616"/>
      <c r="D34" s="128"/>
      <c r="E34" s="128" t="s">
        <v>313</v>
      </c>
      <c r="F34" s="128" t="s">
        <v>313</v>
      </c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29"/>
      <c r="S34" s="128"/>
      <c r="T34" s="128"/>
      <c r="U34" s="128"/>
      <c r="V34" s="128"/>
      <c r="W34" s="128"/>
      <c r="X34" s="128"/>
      <c r="Y34" s="128"/>
      <c r="Z34" s="38"/>
      <c r="AA34" s="38"/>
      <c r="AB34" s="38"/>
    </row>
    <row r="35" spans="1:32" ht="11.25" hidden="1" customHeight="1" outlineLevel="1" x14ac:dyDescent="0.2">
      <c r="A35" s="614" t="s">
        <v>216</v>
      </c>
      <c r="B35" s="615"/>
      <c r="C35" s="616"/>
      <c r="D35" s="128"/>
      <c r="E35" s="128" t="s">
        <v>313</v>
      </c>
      <c r="F35" s="128" t="s">
        <v>313</v>
      </c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9"/>
      <c r="R35" s="129"/>
      <c r="S35" s="128"/>
      <c r="T35" s="128"/>
      <c r="U35" s="128"/>
      <c r="V35" s="128"/>
      <c r="W35" s="128"/>
      <c r="X35" s="128"/>
      <c r="Y35" s="128"/>
      <c r="Z35" s="38"/>
      <c r="AA35" s="38"/>
      <c r="AB35" s="38"/>
    </row>
    <row r="36" spans="1:32" s="30" customFormat="1" ht="17.45" hidden="1" customHeight="1" outlineLevel="1" x14ac:dyDescent="0.2">
      <c r="A36" s="123" t="s">
        <v>316</v>
      </c>
      <c r="B36" s="617" t="s">
        <v>317</v>
      </c>
      <c r="C36" s="618"/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9"/>
      <c r="Z36" s="57"/>
      <c r="AA36" s="57"/>
      <c r="AB36" s="57"/>
      <c r="AE36" s="31"/>
      <c r="AF36" s="31"/>
    </row>
    <row r="37" spans="1:32" s="30" customFormat="1" ht="16.899999999999999" hidden="1" customHeight="1" outlineLevel="1" x14ac:dyDescent="0.2">
      <c r="A37" s="130" t="s">
        <v>219</v>
      </c>
      <c r="B37" s="620" t="s">
        <v>128</v>
      </c>
      <c r="C37" s="621"/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2"/>
      <c r="AE37" s="31"/>
      <c r="AF37" s="31"/>
    </row>
    <row r="38" spans="1:32" s="30" customFormat="1" hidden="1" outlineLevel="1" x14ac:dyDescent="0.2">
      <c r="A38" s="119"/>
      <c r="B38" s="119"/>
      <c r="C38" s="119"/>
      <c r="D38" s="119"/>
      <c r="E38" s="125" t="s">
        <v>313</v>
      </c>
      <c r="F38" s="125" t="s">
        <v>313</v>
      </c>
      <c r="G38" s="125"/>
      <c r="H38" s="125" t="s">
        <v>313</v>
      </c>
      <c r="I38" s="125" t="s">
        <v>313</v>
      </c>
      <c r="J38" s="125" t="s">
        <v>313</v>
      </c>
      <c r="K38" s="125" t="s">
        <v>313</v>
      </c>
      <c r="L38" s="125" t="s">
        <v>313</v>
      </c>
      <c r="M38" s="125" t="s">
        <v>313</v>
      </c>
      <c r="N38" s="125" t="s">
        <v>313</v>
      </c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51"/>
      <c r="AA38" s="51"/>
      <c r="AB38" s="51"/>
      <c r="AE38" s="31"/>
      <c r="AF38" s="31"/>
    </row>
    <row r="39" spans="1:32" s="30" customFormat="1" ht="12.75" hidden="1" customHeight="1" outlineLevel="1" x14ac:dyDescent="0.2">
      <c r="A39" s="612" t="s">
        <v>220</v>
      </c>
      <c r="B39" s="612"/>
      <c r="C39" s="612"/>
      <c r="D39" s="128"/>
      <c r="E39" s="128" t="s">
        <v>313</v>
      </c>
      <c r="F39" s="128" t="s">
        <v>313</v>
      </c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9"/>
      <c r="R39" s="129"/>
      <c r="S39" s="128"/>
      <c r="T39" s="128"/>
      <c r="U39" s="128"/>
      <c r="V39" s="128"/>
      <c r="W39" s="128"/>
      <c r="X39" s="128"/>
      <c r="Y39" s="128"/>
      <c r="Z39" s="38"/>
      <c r="AA39" s="38"/>
      <c r="AB39" s="38"/>
      <c r="AE39" s="31"/>
      <c r="AF39" s="31"/>
    </row>
    <row r="40" spans="1:32" s="30" customFormat="1" ht="13.5" hidden="1" customHeight="1" outlineLevel="1" x14ac:dyDescent="0.2">
      <c r="A40" s="118" t="s">
        <v>221</v>
      </c>
      <c r="B40" s="620" t="s">
        <v>145</v>
      </c>
      <c r="C40" s="621"/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2"/>
      <c r="AE40" s="31"/>
      <c r="AF40" s="31"/>
    </row>
    <row r="41" spans="1:32" s="30" customFormat="1" hidden="1" outlineLevel="1" x14ac:dyDescent="0.2">
      <c r="A41" s="119"/>
      <c r="B41" s="119"/>
      <c r="C41" s="119"/>
      <c r="D41" s="119"/>
      <c r="E41" s="125" t="s">
        <v>313</v>
      </c>
      <c r="F41" s="125" t="s">
        <v>313</v>
      </c>
      <c r="G41" s="125"/>
      <c r="H41" s="125" t="s">
        <v>313</v>
      </c>
      <c r="I41" s="125" t="s">
        <v>313</v>
      </c>
      <c r="J41" s="125" t="s">
        <v>313</v>
      </c>
      <c r="K41" s="125" t="s">
        <v>313</v>
      </c>
      <c r="L41" s="125" t="s">
        <v>313</v>
      </c>
      <c r="M41" s="125" t="s">
        <v>313</v>
      </c>
      <c r="N41" s="125" t="s">
        <v>313</v>
      </c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51"/>
      <c r="AA41" s="51"/>
      <c r="AB41" s="51"/>
      <c r="AE41" s="31"/>
      <c r="AF41" s="31"/>
    </row>
    <row r="42" spans="1:32" s="30" customFormat="1" ht="10.5" hidden="1" customHeight="1" outlineLevel="1" x14ac:dyDescent="0.2">
      <c r="A42" s="614" t="s">
        <v>222</v>
      </c>
      <c r="B42" s="615"/>
      <c r="C42" s="616"/>
      <c r="D42" s="128"/>
      <c r="E42" s="128" t="s">
        <v>313</v>
      </c>
      <c r="F42" s="128" t="s">
        <v>313</v>
      </c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9"/>
      <c r="R42" s="129"/>
      <c r="S42" s="128"/>
      <c r="T42" s="128"/>
      <c r="U42" s="128"/>
      <c r="V42" s="128"/>
      <c r="W42" s="128"/>
      <c r="X42" s="128"/>
      <c r="Y42" s="128"/>
      <c r="Z42" s="38"/>
      <c r="AA42" s="38"/>
      <c r="AB42" s="38"/>
      <c r="AE42" s="31"/>
      <c r="AF42" s="31"/>
    </row>
    <row r="43" spans="1:32" s="30" customFormat="1" ht="15" hidden="1" customHeight="1" outlineLevel="1" x14ac:dyDescent="0.2">
      <c r="A43" s="128" t="s">
        <v>223</v>
      </c>
      <c r="B43" s="620" t="s">
        <v>152</v>
      </c>
      <c r="C43" s="621"/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2"/>
      <c r="AE43" s="31"/>
      <c r="AF43" s="31"/>
    </row>
    <row r="44" spans="1:32" s="30" customFormat="1" hidden="1" outlineLevel="1" x14ac:dyDescent="0.2">
      <c r="A44" s="119"/>
      <c r="B44" s="119"/>
      <c r="C44" s="119"/>
      <c r="D44" s="119"/>
      <c r="E44" s="125" t="s">
        <v>313</v>
      </c>
      <c r="F44" s="125" t="s">
        <v>313</v>
      </c>
      <c r="G44" s="125"/>
      <c r="H44" s="125" t="s">
        <v>313</v>
      </c>
      <c r="I44" s="125" t="s">
        <v>313</v>
      </c>
      <c r="J44" s="125" t="s">
        <v>313</v>
      </c>
      <c r="K44" s="125" t="s">
        <v>313</v>
      </c>
      <c r="L44" s="125" t="s">
        <v>313</v>
      </c>
      <c r="M44" s="125" t="s">
        <v>313</v>
      </c>
      <c r="N44" s="125" t="s">
        <v>313</v>
      </c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51"/>
      <c r="AA44" s="51"/>
      <c r="AB44" s="51"/>
      <c r="AE44" s="31"/>
      <c r="AF44" s="31"/>
    </row>
    <row r="45" spans="1:32" s="30" customFormat="1" ht="10.5" hidden="1" customHeight="1" outlineLevel="1" x14ac:dyDescent="0.2">
      <c r="A45" s="614" t="s">
        <v>224</v>
      </c>
      <c r="B45" s="615"/>
      <c r="C45" s="616"/>
      <c r="D45" s="128"/>
      <c r="E45" s="128" t="s">
        <v>313</v>
      </c>
      <c r="F45" s="128" t="s">
        <v>313</v>
      </c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  <c r="R45" s="129"/>
      <c r="S45" s="128"/>
      <c r="T45" s="128"/>
      <c r="U45" s="128"/>
      <c r="V45" s="128"/>
      <c r="W45" s="128"/>
      <c r="X45" s="128"/>
      <c r="Y45" s="128"/>
      <c r="Z45" s="38"/>
      <c r="AA45" s="38"/>
      <c r="AB45" s="38"/>
      <c r="AE45" s="31"/>
      <c r="AF45" s="31"/>
    </row>
    <row r="46" spans="1:32" s="30" customFormat="1" ht="15.75" hidden="1" outlineLevel="1" x14ac:dyDescent="0.25">
      <c r="A46" s="38"/>
      <c r="B46" s="38"/>
      <c r="L46" s="80">
        <v>2</v>
      </c>
      <c r="P46" s="623" t="s">
        <v>318</v>
      </c>
      <c r="Q46" s="623"/>
      <c r="R46" s="623"/>
      <c r="S46" s="623"/>
      <c r="T46" s="623"/>
      <c r="U46" s="623"/>
      <c r="V46" s="623"/>
      <c r="W46" s="623"/>
      <c r="X46" s="623"/>
      <c r="Y46" s="623"/>
      <c r="AE46" s="31"/>
      <c r="AF46" s="31"/>
    </row>
    <row r="47" spans="1:32" s="30" customFormat="1" hidden="1" outlineLevel="1" x14ac:dyDescent="0.2">
      <c r="A47" s="119">
        <v>1</v>
      </c>
      <c r="B47" s="119">
        <v>2</v>
      </c>
      <c r="C47" s="119">
        <v>3</v>
      </c>
      <c r="D47" s="119">
        <v>4</v>
      </c>
      <c r="E47" s="119">
        <v>5</v>
      </c>
      <c r="F47" s="119">
        <v>6</v>
      </c>
      <c r="G47" s="119"/>
      <c r="H47" s="120">
        <v>7</v>
      </c>
      <c r="I47" s="119">
        <v>8</v>
      </c>
      <c r="J47" s="119">
        <v>9</v>
      </c>
      <c r="K47" s="119">
        <v>10</v>
      </c>
      <c r="L47" s="121">
        <v>11</v>
      </c>
      <c r="M47" s="121">
        <v>12</v>
      </c>
      <c r="N47" s="121">
        <v>13</v>
      </c>
      <c r="O47" s="122">
        <v>14</v>
      </c>
      <c r="P47" s="122">
        <v>15</v>
      </c>
      <c r="Q47" s="122">
        <v>16</v>
      </c>
      <c r="R47" s="122">
        <v>17</v>
      </c>
      <c r="S47" s="122">
        <v>18</v>
      </c>
      <c r="T47" s="122">
        <v>19</v>
      </c>
      <c r="U47" s="122">
        <v>20</v>
      </c>
      <c r="V47" s="122">
        <v>21</v>
      </c>
      <c r="W47" s="122">
        <v>22</v>
      </c>
      <c r="X47" s="122">
        <v>23</v>
      </c>
      <c r="Y47" s="122">
        <v>24</v>
      </c>
      <c r="AE47" s="31"/>
      <c r="AF47" s="31"/>
    </row>
    <row r="48" spans="1:32" s="30" customFormat="1" ht="16.5" hidden="1" customHeight="1" outlineLevel="1" x14ac:dyDescent="0.2">
      <c r="A48" s="118" t="s">
        <v>319</v>
      </c>
      <c r="B48" s="620" t="s">
        <v>226</v>
      </c>
      <c r="C48" s="621"/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2"/>
      <c r="AE48" s="31"/>
      <c r="AF48" s="31"/>
    </row>
    <row r="49" spans="1:32" s="30" customFormat="1" hidden="1" outlineLevel="1" x14ac:dyDescent="0.2">
      <c r="A49" s="119"/>
      <c r="B49" s="119"/>
      <c r="C49" s="119"/>
      <c r="D49" s="119"/>
      <c r="E49" s="125" t="s">
        <v>313</v>
      </c>
      <c r="F49" s="125" t="s">
        <v>313</v>
      </c>
      <c r="G49" s="125"/>
      <c r="H49" s="125" t="s">
        <v>313</v>
      </c>
      <c r="I49" s="125" t="s">
        <v>313</v>
      </c>
      <c r="J49" s="125" t="s">
        <v>313</v>
      </c>
      <c r="K49" s="125" t="s">
        <v>313</v>
      </c>
      <c r="L49" s="125" t="s">
        <v>313</v>
      </c>
      <c r="M49" s="125" t="s">
        <v>313</v>
      </c>
      <c r="N49" s="125" t="s">
        <v>313</v>
      </c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51"/>
      <c r="AA49" s="51"/>
      <c r="AB49" s="51"/>
      <c r="AE49" s="31"/>
      <c r="AF49" s="31"/>
    </row>
    <row r="50" spans="1:32" s="30" customFormat="1" ht="15" hidden="1" customHeight="1" outlineLevel="1" x14ac:dyDescent="0.2">
      <c r="A50" s="614" t="s">
        <v>227</v>
      </c>
      <c r="B50" s="615"/>
      <c r="C50" s="616"/>
      <c r="D50" s="128"/>
      <c r="E50" s="128" t="s">
        <v>313</v>
      </c>
      <c r="F50" s="128" t="s">
        <v>313</v>
      </c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9"/>
      <c r="R50" s="129"/>
      <c r="S50" s="128"/>
      <c r="T50" s="128"/>
      <c r="U50" s="128"/>
      <c r="V50" s="128"/>
      <c r="W50" s="128"/>
      <c r="X50" s="128"/>
      <c r="Y50" s="128"/>
      <c r="Z50" s="38"/>
      <c r="AA50" s="38"/>
      <c r="AB50" s="38"/>
      <c r="AE50" s="31"/>
      <c r="AF50" s="31"/>
    </row>
    <row r="51" spans="1:32" s="30" customFormat="1" ht="14.25" hidden="1" customHeight="1" outlineLevel="1" x14ac:dyDescent="0.2">
      <c r="A51" s="128" t="s">
        <v>228</v>
      </c>
      <c r="B51" s="614" t="s">
        <v>214</v>
      </c>
      <c r="C51" s="615"/>
      <c r="D51" s="615"/>
      <c r="E51" s="615"/>
      <c r="F51" s="615"/>
      <c r="G51" s="615"/>
      <c r="H51" s="615"/>
      <c r="I51" s="615"/>
      <c r="J51" s="615"/>
      <c r="K51" s="615"/>
      <c r="L51" s="615"/>
      <c r="M51" s="615"/>
      <c r="N51" s="615"/>
      <c r="O51" s="615"/>
      <c r="P51" s="615"/>
      <c r="Q51" s="615"/>
      <c r="R51" s="615"/>
      <c r="S51" s="615"/>
      <c r="T51" s="615"/>
      <c r="U51" s="615"/>
      <c r="V51" s="615"/>
      <c r="W51" s="615"/>
      <c r="X51" s="615"/>
      <c r="Y51" s="616"/>
      <c r="Z51" s="38"/>
      <c r="AA51" s="38"/>
      <c r="AB51" s="38"/>
      <c r="AE51" s="31"/>
      <c r="AF51" s="31"/>
    </row>
    <row r="52" spans="1:32" s="30" customFormat="1" hidden="1" outlineLevel="1" x14ac:dyDescent="0.2">
      <c r="A52" s="119"/>
      <c r="B52" s="119"/>
      <c r="C52" s="119"/>
      <c r="D52" s="119"/>
      <c r="E52" s="125" t="s">
        <v>313</v>
      </c>
      <c r="F52" s="125" t="s">
        <v>313</v>
      </c>
      <c r="G52" s="125"/>
      <c r="H52" s="125" t="s">
        <v>313</v>
      </c>
      <c r="I52" s="125" t="s">
        <v>313</v>
      </c>
      <c r="J52" s="125" t="s">
        <v>313</v>
      </c>
      <c r="K52" s="125" t="s">
        <v>313</v>
      </c>
      <c r="L52" s="125" t="s">
        <v>313</v>
      </c>
      <c r="M52" s="125" t="s">
        <v>313</v>
      </c>
      <c r="N52" s="125" t="s">
        <v>313</v>
      </c>
      <c r="O52" s="119"/>
      <c r="P52" s="119"/>
      <c r="Q52" s="126"/>
      <c r="R52" s="126"/>
      <c r="S52" s="119"/>
      <c r="T52" s="119"/>
      <c r="U52" s="119"/>
      <c r="V52" s="119"/>
      <c r="W52" s="119"/>
      <c r="X52" s="119"/>
      <c r="Y52" s="119"/>
      <c r="Z52" s="51"/>
      <c r="AA52" s="51"/>
      <c r="AB52" s="51"/>
      <c r="AE52" s="31"/>
      <c r="AF52" s="31"/>
    </row>
    <row r="53" spans="1:32" s="30" customFormat="1" ht="12.75" hidden="1" customHeight="1" outlineLevel="1" x14ac:dyDescent="0.2">
      <c r="A53" s="614" t="s">
        <v>229</v>
      </c>
      <c r="B53" s="615"/>
      <c r="C53" s="616"/>
      <c r="D53" s="128"/>
      <c r="E53" s="128" t="s">
        <v>313</v>
      </c>
      <c r="F53" s="128" t="s">
        <v>313</v>
      </c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9"/>
      <c r="R53" s="129"/>
      <c r="S53" s="128"/>
      <c r="T53" s="128"/>
      <c r="U53" s="128"/>
      <c r="V53" s="128"/>
      <c r="W53" s="128"/>
      <c r="X53" s="128"/>
      <c r="Y53" s="128"/>
      <c r="Z53" s="38"/>
      <c r="AA53" s="38"/>
      <c r="AB53" s="38"/>
      <c r="AE53" s="31"/>
      <c r="AF53" s="31"/>
    </row>
    <row r="54" spans="1:32" s="30" customFormat="1" ht="12" hidden="1" customHeight="1" outlineLevel="1" x14ac:dyDescent="0.2">
      <c r="A54" s="614" t="s">
        <v>230</v>
      </c>
      <c r="B54" s="615"/>
      <c r="C54" s="616"/>
      <c r="D54" s="128"/>
      <c r="E54" s="128" t="s">
        <v>313</v>
      </c>
      <c r="F54" s="128" t="s">
        <v>313</v>
      </c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9"/>
      <c r="R54" s="129"/>
      <c r="S54" s="128"/>
      <c r="T54" s="128"/>
      <c r="U54" s="128"/>
      <c r="V54" s="128"/>
      <c r="W54" s="128"/>
      <c r="X54" s="128"/>
      <c r="Y54" s="128"/>
      <c r="Z54" s="38"/>
      <c r="AA54" s="38"/>
      <c r="AB54" s="38"/>
      <c r="AE54" s="31"/>
      <c r="AF54" s="31"/>
    </row>
    <row r="55" spans="1:32" s="30" customFormat="1" hidden="1" outlineLevel="1" x14ac:dyDescent="0.2">
      <c r="A55" s="609" t="s">
        <v>231</v>
      </c>
      <c r="B55" s="610"/>
      <c r="C55" s="611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26"/>
      <c r="R55" s="126"/>
      <c r="S55" s="119"/>
      <c r="T55" s="119"/>
      <c r="U55" s="119"/>
      <c r="V55" s="119"/>
      <c r="W55" s="119"/>
      <c r="X55" s="119"/>
      <c r="Y55" s="119"/>
      <c r="Z55" s="51"/>
      <c r="AA55" s="51"/>
      <c r="AB55" s="51"/>
      <c r="AE55" s="31"/>
      <c r="AF55" s="31"/>
    </row>
    <row r="56" spans="1:32" s="30" customFormat="1" collapsed="1" x14ac:dyDescent="0.2">
      <c r="A56" s="119" t="s">
        <v>232</v>
      </c>
      <c r="B56" s="609" t="s">
        <v>125</v>
      </c>
      <c r="C56" s="610"/>
      <c r="D56" s="610"/>
      <c r="E56" s="610"/>
      <c r="F56" s="610"/>
      <c r="G56" s="610"/>
      <c r="H56" s="610"/>
      <c r="I56" s="610"/>
      <c r="J56" s="610"/>
      <c r="K56" s="610"/>
      <c r="L56" s="610"/>
      <c r="M56" s="610"/>
      <c r="N56" s="610"/>
      <c r="O56" s="610"/>
      <c r="P56" s="610"/>
      <c r="Q56" s="610"/>
      <c r="R56" s="610"/>
      <c r="S56" s="610"/>
      <c r="T56" s="610"/>
      <c r="U56" s="610"/>
      <c r="V56" s="610"/>
      <c r="W56" s="610"/>
      <c r="X56" s="610"/>
      <c r="Y56" s="611"/>
      <c r="Z56" s="51"/>
      <c r="AA56" s="51"/>
      <c r="AB56" s="51"/>
      <c r="AE56" s="31"/>
      <c r="AF56" s="31"/>
    </row>
    <row r="57" spans="1:32" s="30" customFormat="1" x14ac:dyDescent="0.2">
      <c r="A57" s="123" t="s">
        <v>233</v>
      </c>
      <c r="B57" s="609" t="s">
        <v>320</v>
      </c>
      <c r="C57" s="610"/>
      <c r="D57" s="610"/>
      <c r="E57" s="610"/>
      <c r="F57" s="610"/>
      <c r="G57" s="610"/>
      <c r="H57" s="610"/>
      <c r="I57" s="610"/>
      <c r="J57" s="610"/>
      <c r="K57" s="610"/>
      <c r="L57" s="610"/>
      <c r="M57" s="610"/>
      <c r="N57" s="610"/>
      <c r="O57" s="610"/>
      <c r="P57" s="610"/>
      <c r="Q57" s="610"/>
      <c r="R57" s="610"/>
      <c r="S57" s="610"/>
      <c r="T57" s="610"/>
      <c r="U57" s="610"/>
      <c r="V57" s="610"/>
      <c r="W57" s="610"/>
      <c r="X57" s="610"/>
      <c r="Y57" s="611"/>
      <c r="Z57" s="44"/>
      <c r="AA57" s="44"/>
      <c r="AB57" s="44"/>
      <c r="AE57" s="31"/>
      <c r="AF57" s="31"/>
    </row>
    <row r="58" spans="1:32" s="30" customFormat="1" ht="15" customHeight="1" x14ac:dyDescent="0.2">
      <c r="A58" s="124" t="s">
        <v>321</v>
      </c>
      <c r="B58" s="620" t="s">
        <v>128</v>
      </c>
      <c r="C58" s="621"/>
      <c r="D58" s="621"/>
      <c r="E58" s="621"/>
      <c r="F58" s="621"/>
      <c r="G58" s="621"/>
      <c r="H58" s="621"/>
      <c r="I58" s="621"/>
      <c r="J58" s="621"/>
      <c r="K58" s="621"/>
      <c r="L58" s="621"/>
      <c r="M58" s="621"/>
      <c r="N58" s="621"/>
      <c r="O58" s="621"/>
      <c r="P58" s="621"/>
      <c r="Q58" s="621"/>
      <c r="R58" s="621"/>
      <c r="S58" s="621"/>
      <c r="T58" s="621"/>
      <c r="U58" s="621"/>
      <c r="V58" s="621"/>
      <c r="W58" s="621"/>
      <c r="X58" s="621"/>
      <c r="Y58" s="622"/>
      <c r="Z58" s="44"/>
      <c r="AA58" s="44"/>
      <c r="AB58" s="44">
        <f>U59/12</f>
        <v>8.3222605975529955</v>
      </c>
      <c r="AE58" s="31"/>
      <c r="AF58" s="31"/>
    </row>
    <row r="59" spans="1:32" ht="42" customHeight="1" x14ac:dyDescent="0.25">
      <c r="A59" s="162" t="s">
        <v>342</v>
      </c>
      <c r="B59" s="161" t="s">
        <v>130</v>
      </c>
      <c r="C59" s="174"/>
      <c r="D59" s="175">
        <v>16611.847999999998</v>
      </c>
      <c r="E59" s="175">
        <f>'Дод 6.1.1'!G40</f>
        <v>990.00811037153073</v>
      </c>
      <c r="F59" s="175">
        <f>'Дод 6.1.1'!H40</f>
        <v>4808.2279272858559</v>
      </c>
      <c r="G59" s="175">
        <f>E59+F59</f>
        <v>5798.236037657387</v>
      </c>
      <c r="H59" s="174"/>
      <c r="I59" s="174"/>
      <c r="J59" s="174"/>
      <c r="K59" s="174"/>
      <c r="L59" s="174"/>
      <c r="M59" s="174"/>
      <c r="N59" s="174"/>
      <c r="O59" s="174"/>
      <c r="P59" s="508">
        <f>D59</f>
        <v>16611.847999999998</v>
      </c>
      <c r="Q59" s="510">
        <v>0</v>
      </c>
      <c r="R59" s="510">
        <f>P59*30%</f>
        <v>4983.5543999999991</v>
      </c>
      <c r="S59" s="512">
        <f>P59*50%</f>
        <v>8305.9239999999991</v>
      </c>
      <c r="T59" s="510">
        <f>P59*20%</f>
        <v>3322.3696</v>
      </c>
      <c r="U59" s="517">
        <f>(D59/Y59)*12</f>
        <v>99.867127170635939</v>
      </c>
      <c r="V59" s="510" t="s">
        <v>541</v>
      </c>
      <c r="W59" s="174">
        <f>954+2160</f>
        <v>3114</v>
      </c>
      <c r="X59" s="174" t="s">
        <v>210</v>
      </c>
      <c r="Y59" s="174">
        <f>W59*641/1000</f>
        <v>1996.0740000000001</v>
      </c>
      <c r="Z59" s="44"/>
      <c r="AA59" s="44">
        <f>E59/D59</f>
        <v>5.9596506684357502E-2</v>
      </c>
      <c r="AB59" s="44"/>
      <c r="AE59" s="30"/>
      <c r="AF59" s="30"/>
    </row>
    <row r="60" spans="1:32" ht="43.5" customHeight="1" x14ac:dyDescent="0.25">
      <c r="A60" s="162" t="s">
        <v>343</v>
      </c>
      <c r="B60" s="176" t="s">
        <v>132</v>
      </c>
      <c r="C60" s="174"/>
      <c r="D60" s="175">
        <v>2190.56</v>
      </c>
      <c r="E60" s="175">
        <f>'Дод 6.1.1'!G41</f>
        <v>130.54972368248616</v>
      </c>
      <c r="F60" s="175">
        <f>'Дод 6.1.1'!H41</f>
        <v>634.04816660947699</v>
      </c>
      <c r="G60" s="175">
        <f>E60+F60</f>
        <v>764.59789029196315</v>
      </c>
      <c r="H60" s="174"/>
      <c r="I60" s="174"/>
      <c r="J60" s="174"/>
      <c r="K60" s="174"/>
      <c r="L60" s="174"/>
      <c r="M60" s="174"/>
      <c r="N60" s="174"/>
      <c r="O60" s="174"/>
      <c r="P60" s="508">
        <f>D60</f>
        <v>2190.56</v>
      </c>
      <c r="Q60" s="510">
        <v>0</v>
      </c>
      <c r="R60" s="512">
        <f>P60*30%</f>
        <v>657.16800000000001</v>
      </c>
      <c r="S60" s="512">
        <f>P60*50%</f>
        <v>1095.28</v>
      </c>
      <c r="T60" s="512">
        <f>P60*20%</f>
        <v>438.11200000000002</v>
      </c>
      <c r="U60" s="517">
        <f>(D60/Y60)*12</f>
        <v>8.1463892643905993</v>
      </c>
      <c r="V60" s="510" t="s">
        <v>544</v>
      </c>
      <c r="W60" s="174">
        <v>5034</v>
      </c>
      <c r="X60" s="174" t="s">
        <v>210</v>
      </c>
      <c r="Y60" s="174">
        <f>W60*641/1000</f>
        <v>3226.7939999999999</v>
      </c>
      <c r="Z60" s="44"/>
      <c r="AA60" s="44"/>
      <c r="AB60" s="44"/>
      <c r="AE60" s="30"/>
      <c r="AF60" s="30"/>
    </row>
    <row r="61" spans="1:32" ht="42.75" customHeight="1" x14ac:dyDescent="0.25">
      <c r="A61" s="162" t="s">
        <v>344</v>
      </c>
      <c r="B61" s="161" t="s">
        <v>134</v>
      </c>
      <c r="C61" s="174"/>
      <c r="D61" s="175">
        <v>1804.896</v>
      </c>
      <c r="E61" s="175">
        <f>'Дод 6.1.1'!G42</f>
        <v>107.56549652857012</v>
      </c>
      <c r="F61" s="175">
        <f>'Дод 6.1.1'!H42</f>
        <v>522.41938121794362</v>
      </c>
      <c r="G61" s="175">
        <f>E61+F61</f>
        <v>629.9848777465138</v>
      </c>
      <c r="H61" s="174"/>
      <c r="I61" s="174"/>
      <c r="J61" s="174"/>
      <c r="K61" s="174"/>
      <c r="L61" s="174"/>
      <c r="M61" s="174"/>
      <c r="N61" s="174"/>
      <c r="O61" s="174"/>
      <c r="P61" s="508">
        <f>D61</f>
        <v>1804.896</v>
      </c>
      <c r="Q61" s="510">
        <v>0</v>
      </c>
      <c r="R61" s="512">
        <f>P61*30%</f>
        <v>541.46879999999999</v>
      </c>
      <c r="S61" s="512">
        <f>P61*50%</f>
        <v>902.44799999999998</v>
      </c>
      <c r="T61" s="512">
        <f>P61*20%</f>
        <v>360.97919999999999</v>
      </c>
      <c r="U61" s="516" t="s">
        <v>210</v>
      </c>
      <c r="V61" s="510" t="s">
        <v>542</v>
      </c>
      <c r="W61" s="174" t="s">
        <v>210</v>
      </c>
      <c r="X61" s="174" t="s">
        <v>210</v>
      </c>
      <c r="Y61" s="174" t="s">
        <v>210</v>
      </c>
      <c r="Z61" s="44"/>
      <c r="AA61" s="44"/>
      <c r="AB61" s="44"/>
      <c r="AE61" s="30"/>
      <c r="AF61" s="30"/>
    </row>
    <row r="62" spans="1:32" ht="42" customHeight="1" x14ac:dyDescent="0.25">
      <c r="A62" s="162" t="s">
        <v>345</v>
      </c>
      <c r="B62" s="161" t="s">
        <v>142</v>
      </c>
      <c r="C62" s="174"/>
      <c r="D62" s="175">
        <v>20.574000000000002</v>
      </c>
      <c r="E62" s="175">
        <f>'Дод 6.1.1'!G46</f>
        <v>1.2261385285239714</v>
      </c>
      <c r="F62" s="175">
        <f>'Дод 6.1.1'!H46</f>
        <v>5.9550557756114326</v>
      </c>
      <c r="G62" s="175">
        <f t="shared" ref="G62" si="0">E62+F62</f>
        <v>7.1811943041354045</v>
      </c>
      <c r="H62" s="174"/>
      <c r="I62" s="174"/>
      <c r="J62" s="174"/>
      <c r="K62" s="174"/>
      <c r="L62" s="174"/>
      <c r="M62" s="174"/>
      <c r="N62" s="174"/>
      <c r="O62" s="174"/>
      <c r="P62" s="508">
        <f>D62</f>
        <v>20.574000000000002</v>
      </c>
      <c r="Q62" s="510">
        <v>0</v>
      </c>
      <c r="R62" s="512">
        <v>0</v>
      </c>
      <c r="S62" s="512">
        <f>P62*100%</f>
        <v>20.574000000000002</v>
      </c>
      <c r="T62" s="512">
        <v>0</v>
      </c>
      <c r="U62" s="516" t="s">
        <v>210</v>
      </c>
      <c r="V62" s="510" t="s">
        <v>543</v>
      </c>
      <c r="W62" s="174" t="s">
        <v>210</v>
      </c>
      <c r="X62" s="174" t="s">
        <v>210</v>
      </c>
      <c r="Y62" s="174" t="s">
        <v>210</v>
      </c>
      <c r="Z62" s="44"/>
      <c r="AA62" s="44"/>
      <c r="AB62" s="44"/>
      <c r="AE62" s="30"/>
      <c r="AF62" s="30"/>
    </row>
    <row r="63" spans="1:32" s="30" customFormat="1" ht="15" x14ac:dyDescent="0.2">
      <c r="A63" s="119"/>
      <c r="B63" s="119"/>
      <c r="C63" s="119"/>
      <c r="D63" s="146"/>
      <c r="E63" s="175">
        <f>'Дод 6.1.1'!G44</f>
        <v>0</v>
      </c>
      <c r="F63" s="175">
        <f>'Дод 6.1.1'!H44</f>
        <v>0</v>
      </c>
      <c r="G63" s="175"/>
      <c r="H63" s="125" t="s">
        <v>313</v>
      </c>
      <c r="I63" s="125" t="s">
        <v>313</v>
      </c>
      <c r="J63" s="125" t="s">
        <v>313</v>
      </c>
      <c r="K63" s="125" t="s">
        <v>313</v>
      </c>
      <c r="L63" s="125" t="s">
        <v>313</v>
      </c>
      <c r="M63" s="125" t="s">
        <v>313</v>
      </c>
      <c r="N63" s="125" t="s">
        <v>313</v>
      </c>
      <c r="O63" s="119"/>
      <c r="P63" s="509"/>
      <c r="Q63" s="511"/>
      <c r="R63" s="511"/>
      <c r="S63" s="509"/>
      <c r="T63" s="509"/>
      <c r="U63" s="119"/>
      <c r="V63" s="119"/>
      <c r="W63" s="119"/>
      <c r="X63" s="119"/>
      <c r="Y63" s="119"/>
      <c r="Z63" s="51"/>
      <c r="AA63" s="44"/>
      <c r="AB63" s="51"/>
      <c r="AE63" s="31"/>
      <c r="AF63" s="31"/>
    </row>
    <row r="64" spans="1:32" s="30" customFormat="1" ht="12" customHeight="1" x14ac:dyDescent="0.25">
      <c r="A64" s="614" t="s">
        <v>235</v>
      </c>
      <c r="B64" s="615"/>
      <c r="C64" s="616"/>
      <c r="D64" s="146">
        <f>SUM(D59:D63)</f>
        <v>20627.878000000001</v>
      </c>
      <c r="E64" s="171">
        <f>SUM(E59:E63)</f>
        <v>1229.3494691111109</v>
      </c>
      <c r="F64" s="171">
        <f>SUM(F59:F63)</f>
        <v>5970.6505308888873</v>
      </c>
      <c r="G64" s="171">
        <f>SUM(G59:G63)</f>
        <v>7200</v>
      </c>
      <c r="H64" s="128"/>
      <c r="I64" s="128"/>
      <c r="J64" s="128"/>
      <c r="K64" s="128"/>
      <c r="L64" s="128"/>
      <c r="M64" s="128"/>
      <c r="N64" s="128"/>
      <c r="O64" s="128"/>
      <c r="P64" s="513">
        <f>D64</f>
        <v>20627.878000000001</v>
      </c>
      <c r="Q64" s="163">
        <v>0</v>
      </c>
      <c r="R64" s="511">
        <f>SUM(R59:R63)</f>
        <v>6182.1911999999984</v>
      </c>
      <c r="S64" s="511">
        <f t="shared" ref="S64:T64" si="1">SUM(S59:S63)</f>
        <v>10324.226000000001</v>
      </c>
      <c r="T64" s="511">
        <f t="shared" si="1"/>
        <v>4121.4607999999998</v>
      </c>
      <c r="U64" s="128"/>
      <c r="V64" s="128"/>
      <c r="W64" s="128"/>
      <c r="X64" s="128"/>
      <c r="Y64" s="128"/>
      <c r="Z64" s="38"/>
      <c r="AA64" s="44"/>
      <c r="AB64" s="38"/>
      <c r="AE64" s="31"/>
      <c r="AF64" s="31"/>
    </row>
    <row r="65" spans="1:32" s="30" customFormat="1" ht="15.75" customHeight="1" x14ac:dyDescent="0.2">
      <c r="A65" s="128" t="s">
        <v>322</v>
      </c>
      <c r="B65" s="620" t="s">
        <v>145</v>
      </c>
      <c r="C65" s="621"/>
      <c r="D65" s="621"/>
      <c r="E65" s="621"/>
      <c r="F65" s="621"/>
      <c r="G65" s="621"/>
      <c r="H65" s="621"/>
      <c r="I65" s="621"/>
      <c r="J65" s="621"/>
      <c r="K65" s="621"/>
      <c r="L65" s="621"/>
      <c r="M65" s="621"/>
      <c r="N65" s="621"/>
      <c r="O65" s="621"/>
      <c r="P65" s="621"/>
      <c r="Q65" s="621"/>
      <c r="R65" s="621"/>
      <c r="S65" s="621"/>
      <c r="T65" s="621"/>
      <c r="U65" s="621"/>
      <c r="V65" s="621"/>
      <c r="W65" s="621"/>
      <c r="X65" s="621"/>
      <c r="Y65" s="622"/>
      <c r="Z65" s="57"/>
      <c r="AA65" s="57"/>
      <c r="AB65" s="57"/>
      <c r="AE65" s="31"/>
      <c r="AF65" s="31"/>
    </row>
    <row r="66" spans="1:32" ht="42.75" customHeight="1" x14ac:dyDescent="0.25">
      <c r="A66" s="163" t="s">
        <v>349</v>
      </c>
      <c r="B66" s="177" t="s">
        <v>147</v>
      </c>
      <c r="C66" s="174"/>
      <c r="D66" s="175">
        <v>4843.3140000000003</v>
      </c>
      <c r="E66" s="175">
        <f>'Дод 6.1.1'!G99</f>
        <v>0</v>
      </c>
      <c r="F66" s="175">
        <f>'Дод 6.1.1'!H99</f>
        <v>968.6</v>
      </c>
      <c r="G66" s="175">
        <f>E66+F66</f>
        <v>968.6</v>
      </c>
      <c r="H66" s="174"/>
      <c r="I66" s="174"/>
      <c r="J66" s="174"/>
      <c r="K66" s="174"/>
      <c r="L66" s="174"/>
      <c r="M66" s="174"/>
      <c r="N66" s="174"/>
      <c r="O66" s="174"/>
      <c r="P66" s="508">
        <f>D66</f>
        <v>4843.3140000000003</v>
      </c>
      <c r="Q66" s="174">
        <v>0</v>
      </c>
      <c r="R66" s="174">
        <v>0</v>
      </c>
      <c r="S66" s="512">
        <f>P66*80%</f>
        <v>3874.6512000000002</v>
      </c>
      <c r="T66" s="512">
        <f>P66*20%</f>
        <v>968.66280000000006</v>
      </c>
      <c r="U66" s="174" t="s">
        <v>210</v>
      </c>
      <c r="V66" s="510" t="s">
        <v>533</v>
      </c>
      <c r="W66" s="174" t="s">
        <v>210</v>
      </c>
      <c r="X66" s="174" t="s">
        <v>210</v>
      </c>
      <c r="Y66" s="174" t="s">
        <v>210</v>
      </c>
      <c r="Z66" s="57"/>
      <c r="AA66" s="57"/>
      <c r="AB66" s="57"/>
    </row>
    <row r="67" spans="1:32" ht="41.25" customHeight="1" x14ac:dyDescent="0.25">
      <c r="A67" s="163" t="s">
        <v>350</v>
      </c>
      <c r="B67" s="161" t="s">
        <v>149</v>
      </c>
      <c r="C67" s="174"/>
      <c r="D67" s="175">
        <v>3212.8429999999998</v>
      </c>
      <c r="E67" s="175">
        <f>'Дод 6.1.1'!G100</f>
        <v>0</v>
      </c>
      <c r="F67" s="175">
        <f>'Дод 6.1.1'!H100</f>
        <v>642.6</v>
      </c>
      <c r="G67" s="175">
        <f>E67+F67</f>
        <v>642.6</v>
      </c>
      <c r="H67" s="174"/>
      <c r="I67" s="174"/>
      <c r="J67" s="174"/>
      <c r="K67" s="174"/>
      <c r="L67" s="174"/>
      <c r="M67" s="174"/>
      <c r="N67" s="174"/>
      <c r="O67" s="174"/>
      <c r="P67" s="508">
        <f>D67</f>
        <v>3212.8429999999998</v>
      </c>
      <c r="Q67" s="174">
        <v>0</v>
      </c>
      <c r="R67" s="174">
        <v>0</v>
      </c>
      <c r="S67" s="512">
        <f>P67*80%</f>
        <v>2570.2744000000002</v>
      </c>
      <c r="T67" s="512">
        <f>P67*20%</f>
        <v>642.56860000000006</v>
      </c>
      <c r="U67" s="174" t="s">
        <v>210</v>
      </c>
      <c r="V67" s="510" t="s">
        <v>534</v>
      </c>
      <c r="W67" s="174" t="s">
        <v>210</v>
      </c>
      <c r="X67" s="174" t="s">
        <v>210</v>
      </c>
      <c r="Y67" s="174" t="s">
        <v>210</v>
      </c>
      <c r="Z67" s="57"/>
      <c r="AA67" s="57"/>
      <c r="AB67" s="57"/>
    </row>
    <row r="68" spans="1:32" ht="15.75" customHeight="1" x14ac:dyDescent="0.2">
      <c r="A68" s="128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512"/>
      <c r="T68" s="512"/>
      <c r="U68" s="174"/>
      <c r="V68" s="174"/>
      <c r="W68" s="174"/>
      <c r="X68" s="174"/>
      <c r="Y68" s="174"/>
      <c r="Z68" s="57"/>
      <c r="AA68" s="57"/>
      <c r="AB68" s="57"/>
    </row>
    <row r="69" spans="1:32" s="30" customFormat="1" ht="14.25" x14ac:dyDescent="0.2">
      <c r="A69" s="119"/>
      <c r="B69" s="119"/>
      <c r="C69" s="119"/>
      <c r="D69" s="169"/>
      <c r="E69" s="125" t="s">
        <v>313</v>
      </c>
      <c r="F69" s="125" t="s">
        <v>313</v>
      </c>
      <c r="G69" s="125"/>
      <c r="H69" s="125" t="s">
        <v>313</v>
      </c>
      <c r="I69" s="125" t="s">
        <v>313</v>
      </c>
      <c r="J69" s="125" t="s">
        <v>313</v>
      </c>
      <c r="K69" s="125" t="s">
        <v>313</v>
      </c>
      <c r="L69" s="125" t="s">
        <v>313</v>
      </c>
      <c r="M69" s="125" t="s">
        <v>313</v>
      </c>
      <c r="N69" s="125" t="s">
        <v>313</v>
      </c>
      <c r="O69" s="119"/>
      <c r="P69" s="119"/>
      <c r="Q69" s="126"/>
      <c r="R69" s="126"/>
      <c r="S69" s="514"/>
      <c r="T69" s="514"/>
      <c r="U69" s="119"/>
      <c r="V69" s="119"/>
      <c r="W69" s="119"/>
      <c r="X69" s="119"/>
      <c r="Y69" s="119"/>
      <c r="Z69" s="51"/>
      <c r="AA69" s="51"/>
      <c r="AB69" s="51"/>
      <c r="AE69" s="31"/>
      <c r="AF69" s="31"/>
    </row>
    <row r="70" spans="1:32" s="30" customFormat="1" ht="13.5" customHeight="1" x14ac:dyDescent="0.2">
      <c r="A70" s="614" t="s">
        <v>237</v>
      </c>
      <c r="B70" s="615"/>
      <c r="C70" s="616"/>
      <c r="D70" s="171">
        <v>8056.1570000000002</v>
      </c>
      <c r="E70" s="171">
        <f>E66+E67</f>
        <v>0</v>
      </c>
      <c r="F70" s="171">
        <f>F66+F67</f>
        <v>1611.2</v>
      </c>
      <c r="G70" s="171">
        <f>G66+G67</f>
        <v>1611.2</v>
      </c>
      <c r="H70" s="128"/>
      <c r="I70" s="128"/>
      <c r="J70" s="128"/>
      <c r="K70" s="128"/>
      <c r="L70" s="128"/>
      <c r="M70" s="128"/>
      <c r="N70" s="128"/>
      <c r="O70" s="128"/>
      <c r="P70" s="513">
        <f>D70</f>
        <v>8056.1570000000002</v>
      </c>
      <c r="Q70" s="122">
        <v>0</v>
      </c>
      <c r="R70" s="122">
        <v>0</v>
      </c>
      <c r="S70" s="514">
        <f>S66+S67</f>
        <v>6444.9256000000005</v>
      </c>
      <c r="T70" s="514">
        <f>T66+T67</f>
        <v>1611.2314000000001</v>
      </c>
      <c r="U70" s="128"/>
      <c r="V70" s="128"/>
      <c r="W70" s="128"/>
      <c r="X70" s="128"/>
      <c r="Y70" s="128"/>
      <c r="Z70" s="38"/>
      <c r="AA70" s="38"/>
      <c r="AB70" s="38"/>
      <c r="AE70" s="31"/>
      <c r="AF70" s="31"/>
    </row>
    <row r="71" spans="1:32" s="30" customFormat="1" x14ac:dyDescent="0.2">
      <c r="A71" s="123" t="s">
        <v>323</v>
      </c>
      <c r="B71" s="614" t="s">
        <v>214</v>
      </c>
      <c r="C71" s="615"/>
      <c r="D71" s="615"/>
      <c r="E71" s="615"/>
      <c r="F71" s="615"/>
      <c r="G71" s="615"/>
      <c r="H71" s="615"/>
      <c r="I71" s="615"/>
      <c r="J71" s="615"/>
      <c r="K71" s="615"/>
      <c r="L71" s="615"/>
      <c r="M71" s="615"/>
      <c r="N71" s="615"/>
      <c r="O71" s="615"/>
      <c r="P71" s="615"/>
      <c r="Q71" s="615"/>
      <c r="R71" s="615"/>
      <c r="S71" s="615"/>
      <c r="T71" s="615"/>
      <c r="U71" s="615"/>
      <c r="V71" s="615"/>
      <c r="W71" s="615"/>
      <c r="X71" s="615"/>
      <c r="Y71" s="616"/>
      <c r="Z71" s="57"/>
      <c r="AA71" s="57"/>
      <c r="AB71" s="57"/>
      <c r="AE71" s="31"/>
      <c r="AF71" s="31"/>
    </row>
    <row r="72" spans="1:32" s="30" customFormat="1" x14ac:dyDescent="0.2">
      <c r="A72" s="119"/>
      <c r="B72" s="119"/>
      <c r="C72" s="119"/>
      <c r="D72" s="119"/>
      <c r="E72" s="125" t="s">
        <v>313</v>
      </c>
      <c r="F72" s="125" t="s">
        <v>313</v>
      </c>
      <c r="G72" s="125"/>
      <c r="H72" s="125" t="s">
        <v>313</v>
      </c>
      <c r="I72" s="125" t="s">
        <v>313</v>
      </c>
      <c r="J72" s="125" t="s">
        <v>313</v>
      </c>
      <c r="K72" s="125" t="s">
        <v>313</v>
      </c>
      <c r="L72" s="125" t="s">
        <v>313</v>
      </c>
      <c r="M72" s="125" t="s">
        <v>313</v>
      </c>
      <c r="N72" s="125" t="s">
        <v>313</v>
      </c>
      <c r="O72" s="119"/>
      <c r="P72" s="119"/>
      <c r="Q72" s="126"/>
      <c r="R72" s="126"/>
      <c r="S72" s="119"/>
      <c r="T72" s="119"/>
      <c r="U72" s="119"/>
      <c r="V72" s="119"/>
      <c r="W72" s="119"/>
      <c r="X72" s="119"/>
      <c r="Y72" s="119"/>
      <c r="Z72" s="51"/>
      <c r="AA72" s="51"/>
      <c r="AB72" s="51"/>
      <c r="AE72" s="31"/>
      <c r="AF72" s="31"/>
    </row>
    <row r="73" spans="1:32" s="30" customFormat="1" ht="11.25" customHeight="1" x14ac:dyDescent="0.2">
      <c r="A73" s="614" t="s">
        <v>239</v>
      </c>
      <c r="B73" s="615"/>
      <c r="C73" s="616"/>
      <c r="D73" s="128"/>
      <c r="E73" s="128" t="s">
        <v>313</v>
      </c>
      <c r="F73" s="128" t="s">
        <v>313</v>
      </c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9"/>
      <c r="R73" s="129"/>
      <c r="S73" s="128"/>
      <c r="T73" s="128"/>
      <c r="U73" s="128"/>
      <c r="V73" s="128"/>
      <c r="W73" s="128"/>
      <c r="X73" s="128"/>
      <c r="Y73" s="128"/>
      <c r="Z73" s="38"/>
      <c r="AA73" s="38"/>
      <c r="AB73" s="38"/>
      <c r="AE73" s="31"/>
      <c r="AF73" s="31"/>
    </row>
    <row r="74" spans="1:32" s="30" customFormat="1" ht="12" customHeight="1" x14ac:dyDescent="0.2">
      <c r="A74" s="614" t="s">
        <v>240</v>
      </c>
      <c r="B74" s="615"/>
      <c r="C74" s="616"/>
      <c r="D74" s="128"/>
      <c r="E74" s="128" t="s">
        <v>313</v>
      </c>
      <c r="F74" s="128" t="s">
        <v>313</v>
      </c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9"/>
      <c r="R74" s="129"/>
      <c r="S74" s="128"/>
      <c r="T74" s="128"/>
      <c r="U74" s="128"/>
      <c r="V74" s="128"/>
      <c r="W74" s="128"/>
      <c r="X74" s="128"/>
      <c r="Y74" s="128"/>
      <c r="Z74" s="38"/>
      <c r="AA74" s="38"/>
      <c r="AB74" s="38"/>
      <c r="AE74" s="31"/>
      <c r="AF74" s="31"/>
    </row>
    <row r="75" spans="1:32" s="30" customFormat="1" ht="18" customHeight="1" x14ac:dyDescent="0.2">
      <c r="A75" s="123" t="s">
        <v>324</v>
      </c>
      <c r="B75" s="617" t="s">
        <v>317</v>
      </c>
      <c r="C75" s="618"/>
      <c r="D75" s="618"/>
      <c r="E75" s="618"/>
      <c r="F75" s="618"/>
      <c r="G75" s="618"/>
      <c r="H75" s="618"/>
      <c r="I75" s="618"/>
      <c r="J75" s="618"/>
      <c r="K75" s="618"/>
      <c r="L75" s="618"/>
      <c r="M75" s="618"/>
      <c r="N75" s="618"/>
      <c r="O75" s="618"/>
      <c r="P75" s="618"/>
      <c r="Q75" s="618"/>
      <c r="R75" s="618"/>
      <c r="S75" s="618"/>
      <c r="T75" s="618"/>
      <c r="U75" s="618"/>
      <c r="V75" s="618"/>
      <c r="W75" s="618"/>
      <c r="X75" s="618"/>
      <c r="Y75" s="619"/>
      <c r="Z75" s="57"/>
      <c r="AA75" s="57"/>
      <c r="AB75" s="57"/>
      <c r="AE75" s="31"/>
      <c r="AF75" s="31"/>
    </row>
    <row r="76" spans="1:32" s="30" customFormat="1" ht="15" customHeight="1" x14ac:dyDescent="0.2">
      <c r="A76" s="130" t="s">
        <v>242</v>
      </c>
      <c r="B76" s="620" t="s">
        <v>128</v>
      </c>
      <c r="C76" s="621"/>
      <c r="D76" s="621"/>
      <c r="E76" s="621"/>
      <c r="F76" s="621"/>
      <c r="G76" s="621"/>
      <c r="H76" s="621"/>
      <c r="I76" s="621"/>
      <c r="J76" s="621"/>
      <c r="K76" s="621"/>
      <c r="L76" s="621"/>
      <c r="M76" s="621"/>
      <c r="N76" s="621"/>
      <c r="O76" s="621"/>
      <c r="P76" s="621"/>
      <c r="Q76" s="621"/>
      <c r="R76" s="621"/>
      <c r="S76" s="621"/>
      <c r="T76" s="621"/>
      <c r="U76" s="621"/>
      <c r="V76" s="621"/>
      <c r="W76" s="621"/>
      <c r="X76" s="621"/>
      <c r="Y76" s="622"/>
      <c r="AE76" s="31"/>
      <c r="AF76" s="31"/>
    </row>
    <row r="77" spans="1:32" s="30" customFormat="1" x14ac:dyDescent="0.2">
      <c r="A77" s="119"/>
      <c r="B77" s="119"/>
      <c r="C77" s="119"/>
      <c r="D77" s="119"/>
      <c r="E77" s="125" t="s">
        <v>313</v>
      </c>
      <c r="F77" s="125" t="s">
        <v>313</v>
      </c>
      <c r="G77" s="125"/>
      <c r="H77" s="125" t="s">
        <v>313</v>
      </c>
      <c r="I77" s="125" t="s">
        <v>313</v>
      </c>
      <c r="J77" s="125" t="s">
        <v>313</v>
      </c>
      <c r="K77" s="125" t="s">
        <v>313</v>
      </c>
      <c r="L77" s="125" t="s">
        <v>313</v>
      </c>
      <c r="M77" s="125" t="s">
        <v>313</v>
      </c>
      <c r="N77" s="125" t="s">
        <v>313</v>
      </c>
      <c r="O77" s="119"/>
      <c r="P77" s="119"/>
      <c r="Q77" s="126"/>
      <c r="R77" s="126"/>
      <c r="S77" s="119"/>
      <c r="T77" s="119"/>
      <c r="U77" s="119"/>
      <c r="V77" s="119"/>
      <c r="W77" s="119"/>
      <c r="X77" s="119"/>
      <c r="Y77" s="119"/>
      <c r="Z77" s="51"/>
      <c r="AA77" s="51"/>
      <c r="AB77" s="51"/>
      <c r="AE77" s="31"/>
      <c r="AF77" s="31"/>
    </row>
    <row r="78" spans="1:32" s="30" customFormat="1" ht="12" customHeight="1" x14ac:dyDescent="0.2">
      <c r="A78" s="614" t="s">
        <v>243</v>
      </c>
      <c r="B78" s="615"/>
      <c r="C78" s="616"/>
      <c r="D78" s="128"/>
      <c r="E78" s="128" t="s">
        <v>313</v>
      </c>
      <c r="F78" s="128" t="s">
        <v>313</v>
      </c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9"/>
      <c r="R78" s="129"/>
      <c r="S78" s="128"/>
      <c r="T78" s="128"/>
      <c r="U78" s="128"/>
      <c r="V78" s="128"/>
      <c r="W78" s="128"/>
      <c r="X78" s="128"/>
      <c r="Y78" s="128"/>
      <c r="Z78" s="38"/>
      <c r="AA78" s="38"/>
      <c r="AB78" s="38"/>
      <c r="AE78" s="31"/>
      <c r="AF78" s="31"/>
    </row>
    <row r="79" spans="1:32" s="30" customFormat="1" ht="20.25" customHeight="1" x14ac:dyDescent="0.2">
      <c r="A79" s="118" t="s">
        <v>244</v>
      </c>
      <c r="B79" s="620" t="s">
        <v>325</v>
      </c>
      <c r="C79" s="621"/>
      <c r="D79" s="621"/>
      <c r="E79" s="621"/>
      <c r="F79" s="621"/>
      <c r="G79" s="621"/>
      <c r="H79" s="621"/>
      <c r="I79" s="621"/>
      <c r="J79" s="621"/>
      <c r="K79" s="621"/>
      <c r="L79" s="621"/>
      <c r="M79" s="621"/>
      <c r="N79" s="621"/>
      <c r="O79" s="621"/>
      <c r="P79" s="621"/>
      <c r="Q79" s="621"/>
      <c r="R79" s="621"/>
      <c r="S79" s="621"/>
      <c r="T79" s="621"/>
      <c r="U79" s="621"/>
      <c r="V79" s="621"/>
      <c r="W79" s="621"/>
      <c r="X79" s="621"/>
      <c r="Y79" s="622"/>
      <c r="AE79" s="31"/>
      <c r="AF79" s="31"/>
    </row>
    <row r="80" spans="1:32" s="30" customFormat="1" x14ac:dyDescent="0.2">
      <c r="A80" s="119"/>
      <c r="B80" s="119"/>
      <c r="C80" s="119"/>
      <c r="D80" s="119"/>
      <c r="E80" s="125" t="s">
        <v>313</v>
      </c>
      <c r="F80" s="125" t="s">
        <v>313</v>
      </c>
      <c r="G80" s="125"/>
      <c r="H80" s="125" t="s">
        <v>313</v>
      </c>
      <c r="I80" s="125" t="s">
        <v>313</v>
      </c>
      <c r="J80" s="125" t="s">
        <v>313</v>
      </c>
      <c r="K80" s="125" t="s">
        <v>313</v>
      </c>
      <c r="L80" s="125" t="s">
        <v>313</v>
      </c>
      <c r="M80" s="125" t="s">
        <v>313</v>
      </c>
      <c r="N80" s="125" t="s">
        <v>313</v>
      </c>
      <c r="O80" s="119"/>
      <c r="P80" s="119"/>
      <c r="Q80" s="126"/>
      <c r="R80" s="126"/>
      <c r="S80" s="119"/>
      <c r="T80" s="119"/>
      <c r="U80" s="119"/>
      <c r="V80" s="119"/>
      <c r="W80" s="119"/>
      <c r="X80" s="119"/>
      <c r="Y80" s="119"/>
      <c r="Z80" s="51"/>
      <c r="AA80" s="51"/>
      <c r="AB80" s="51"/>
      <c r="AE80" s="31"/>
      <c r="AF80" s="31"/>
    </row>
    <row r="81" spans="1:32" s="30" customFormat="1" ht="13.5" customHeight="1" x14ac:dyDescent="0.2">
      <c r="A81" s="614" t="s">
        <v>245</v>
      </c>
      <c r="B81" s="615"/>
      <c r="C81" s="616"/>
      <c r="D81" s="128"/>
      <c r="E81" s="128" t="s">
        <v>313</v>
      </c>
      <c r="F81" s="128" t="s">
        <v>313</v>
      </c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9"/>
      <c r="R81" s="129"/>
      <c r="S81" s="128"/>
      <c r="T81" s="128"/>
      <c r="U81" s="128"/>
      <c r="V81" s="128"/>
      <c r="W81" s="128"/>
      <c r="X81" s="128"/>
      <c r="Y81" s="128"/>
      <c r="Z81" s="38"/>
      <c r="AA81" s="38"/>
      <c r="AB81" s="38"/>
      <c r="AE81" s="31"/>
      <c r="AF81" s="31"/>
    </row>
    <row r="82" spans="1:32" s="30" customFormat="1" ht="18.75" customHeight="1" x14ac:dyDescent="0.2">
      <c r="A82" s="128" t="s">
        <v>246</v>
      </c>
      <c r="B82" s="620" t="s">
        <v>152</v>
      </c>
      <c r="C82" s="621"/>
      <c r="D82" s="621"/>
      <c r="E82" s="621"/>
      <c r="F82" s="621"/>
      <c r="G82" s="621"/>
      <c r="H82" s="621"/>
      <c r="I82" s="621"/>
      <c r="J82" s="621"/>
      <c r="K82" s="621"/>
      <c r="L82" s="621"/>
      <c r="M82" s="621"/>
      <c r="N82" s="621"/>
      <c r="O82" s="621"/>
      <c r="P82" s="621"/>
      <c r="Q82" s="621"/>
      <c r="R82" s="621"/>
      <c r="S82" s="621"/>
      <c r="T82" s="621"/>
      <c r="U82" s="621"/>
      <c r="V82" s="621"/>
      <c r="W82" s="621"/>
      <c r="X82" s="621"/>
      <c r="Y82" s="622"/>
      <c r="AE82" s="31"/>
      <c r="AF82" s="31"/>
    </row>
    <row r="83" spans="1:32" s="30" customFormat="1" x14ac:dyDescent="0.2">
      <c r="A83" s="119"/>
      <c r="B83" s="119"/>
      <c r="C83" s="119"/>
      <c r="D83" s="119"/>
      <c r="E83" s="125" t="s">
        <v>313</v>
      </c>
      <c r="F83" s="125" t="s">
        <v>313</v>
      </c>
      <c r="G83" s="125"/>
      <c r="H83" s="125" t="s">
        <v>313</v>
      </c>
      <c r="I83" s="125" t="s">
        <v>313</v>
      </c>
      <c r="J83" s="125" t="s">
        <v>313</v>
      </c>
      <c r="K83" s="125" t="s">
        <v>313</v>
      </c>
      <c r="L83" s="125" t="s">
        <v>313</v>
      </c>
      <c r="M83" s="125" t="s">
        <v>313</v>
      </c>
      <c r="N83" s="125" t="s">
        <v>313</v>
      </c>
      <c r="O83" s="119"/>
      <c r="P83" s="119"/>
      <c r="Q83" s="126"/>
      <c r="R83" s="126"/>
      <c r="S83" s="119"/>
      <c r="T83" s="119"/>
      <c r="U83" s="119"/>
      <c r="V83" s="119"/>
      <c r="W83" s="119"/>
      <c r="X83" s="119"/>
      <c r="Y83" s="119"/>
      <c r="Z83" s="51"/>
      <c r="AA83" s="51"/>
      <c r="AB83" s="51"/>
      <c r="AE83" s="31"/>
      <c r="AF83" s="31"/>
    </row>
    <row r="84" spans="1:32" s="30" customFormat="1" ht="13.5" customHeight="1" x14ac:dyDescent="0.2">
      <c r="A84" s="612" t="s">
        <v>247</v>
      </c>
      <c r="B84" s="612"/>
      <c r="C84" s="612"/>
      <c r="D84" s="128"/>
      <c r="E84" s="128" t="s">
        <v>210</v>
      </c>
      <c r="F84" s="128" t="s">
        <v>210</v>
      </c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9"/>
      <c r="R84" s="129"/>
      <c r="S84" s="128"/>
      <c r="T84" s="128"/>
      <c r="U84" s="128"/>
      <c r="V84" s="128"/>
      <c r="W84" s="128"/>
      <c r="X84" s="128"/>
      <c r="Y84" s="128"/>
      <c r="Z84" s="38"/>
      <c r="AA84" s="38"/>
      <c r="AB84" s="38"/>
      <c r="AE84" s="31"/>
      <c r="AF84" s="31"/>
    </row>
    <row r="85" spans="1:32" s="30" customFormat="1" x14ac:dyDescent="0.2">
      <c r="A85" s="118"/>
      <c r="B85" s="118"/>
      <c r="C85" s="118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28"/>
      <c r="P85" s="128"/>
      <c r="Q85" s="129"/>
      <c r="R85" s="129"/>
      <c r="S85" s="128"/>
      <c r="T85" s="132"/>
      <c r="U85" s="131"/>
      <c r="V85" s="131"/>
      <c r="W85" s="131"/>
      <c r="X85" s="131"/>
      <c r="Y85" s="131"/>
      <c r="AE85" s="31"/>
      <c r="AF85" s="31"/>
    </row>
    <row r="86" spans="1:32" s="30" customFormat="1" ht="15" customHeight="1" x14ac:dyDescent="0.2">
      <c r="A86" s="118" t="s">
        <v>326</v>
      </c>
      <c r="B86" s="620" t="s">
        <v>226</v>
      </c>
      <c r="C86" s="621"/>
      <c r="D86" s="621"/>
      <c r="E86" s="621"/>
      <c r="F86" s="621"/>
      <c r="G86" s="621"/>
      <c r="H86" s="621"/>
      <c r="I86" s="621"/>
      <c r="J86" s="621"/>
      <c r="K86" s="621"/>
      <c r="L86" s="621"/>
      <c r="M86" s="621"/>
      <c r="N86" s="621"/>
      <c r="O86" s="621"/>
      <c r="P86" s="621"/>
      <c r="Q86" s="621"/>
      <c r="R86" s="621"/>
      <c r="S86" s="621"/>
      <c r="T86" s="621"/>
      <c r="U86" s="621"/>
      <c r="V86" s="621"/>
      <c r="W86" s="621"/>
      <c r="X86" s="621"/>
      <c r="Y86" s="622"/>
      <c r="AE86" s="31"/>
      <c r="AF86" s="31"/>
    </row>
    <row r="87" spans="1:32" s="30" customFormat="1" x14ac:dyDescent="0.2">
      <c r="A87" s="119"/>
      <c r="B87" s="119"/>
      <c r="C87" s="119"/>
      <c r="D87" s="119"/>
      <c r="E87" s="125" t="s">
        <v>313</v>
      </c>
      <c r="F87" s="125" t="s">
        <v>313</v>
      </c>
      <c r="G87" s="125"/>
      <c r="H87" s="125" t="s">
        <v>313</v>
      </c>
      <c r="I87" s="125" t="s">
        <v>313</v>
      </c>
      <c r="J87" s="125" t="s">
        <v>313</v>
      </c>
      <c r="K87" s="125" t="s">
        <v>313</v>
      </c>
      <c r="L87" s="125" t="s">
        <v>313</v>
      </c>
      <c r="M87" s="125" t="s">
        <v>313</v>
      </c>
      <c r="N87" s="125" t="s">
        <v>313</v>
      </c>
      <c r="O87" s="119"/>
      <c r="P87" s="119"/>
      <c r="Q87" s="126"/>
      <c r="R87" s="126"/>
      <c r="S87" s="119"/>
      <c r="T87" s="119"/>
      <c r="U87" s="119"/>
      <c r="V87" s="119"/>
      <c r="W87" s="119"/>
      <c r="X87" s="119"/>
      <c r="Y87" s="119"/>
      <c r="Z87" s="51"/>
      <c r="AA87" s="51"/>
      <c r="AB87" s="51"/>
      <c r="AE87" s="31"/>
      <c r="AF87" s="31"/>
    </row>
    <row r="88" spans="1:32" s="30" customFormat="1" ht="12.75" customHeight="1" x14ac:dyDescent="0.2">
      <c r="A88" s="614" t="s">
        <v>249</v>
      </c>
      <c r="B88" s="615"/>
      <c r="C88" s="616"/>
      <c r="D88" s="128"/>
      <c r="E88" s="128" t="s">
        <v>313</v>
      </c>
      <c r="F88" s="128" t="s">
        <v>313</v>
      </c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9"/>
      <c r="R88" s="129"/>
      <c r="S88" s="128"/>
      <c r="T88" s="128"/>
      <c r="U88" s="128"/>
      <c r="V88" s="128"/>
      <c r="W88" s="128"/>
      <c r="X88" s="128"/>
      <c r="Y88" s="128"/>
      <c r="Z88" s="38"/>
      <c r="AA88" s="38"/>
      <c r="AB88" s="38"/>
      <c r="AE88" s="31"/>
      <c r="AF88" s="31"/>
    </row>
    <row r="89" spans="1:32" s="30" customFormat="1" ht="15.75" customHeight="1" x14ac:dyDescent="0.2">
      <c r="A89" s="128" t="s">
        <v>250</v>
      </c>
      <c r="B89" s="614" t="s">
        <v>214</v>
      </c>
      <c r="C89" s="615"/>
      <c r="D89" s="615"/>
      <c r="E89" s="615"/>
      <c r="F89" s="615"/>
      <c r="G89" s="615"/>
      <c r="H89" s="615"/>
      <c r="I89" s="615"/>
      <c r="J89" s="615"/>
      <c r="K89" s="615"/>
      <c r="L89" s="615"/>
      <c r="M89" s="615"/>
      <c r="N89" s="615"/>
      <c r="O89" s="615"/>
      <c r="P89" s="615"/>
      <c r="Q89" s="615"/>
      <c r="R89" s="615"/>
      <c r="S89" s="615"/>
      <c r="T89" s="615"/>
      <c r="U89" s="615"/>
      <c r="V89" s="615"/>
      <c r="W89" s="615"/>
      <c r="X89" s="615"/>
      <c r="Y89" s="616"/>
      <c r="Z89" s="38"/>
      <c r="AA89" s="38"/>
      <c r="AB89" s="38"/>
      <c r="AE89" s="31"/>
      <c r="AF89" s="31"/>
    </row>
    <row r="90" spans="1:32" s="30" customFormat="1" x14ac:dyDescent="0.2">
      <c r="A90" s="119"/>
      <c r="B90" s="119"/>
      <c r="C90" s="119"/>
      <c r="D90" s="119"/>
      <c r="E90" s="125" t="s">
        <v>313</v>
      </c>
      <c r="F90" s="125" t="s">
        <v>313</v>
      </c>
      <c r="G90" s="125"/>
      <c r="H90" s="125" t="s">
        <v>313</v>
      </c>
      <c r="I90" s="125" t="s">
        <v>313</v>
      </c>
      <c r="J90" s="125" t="s">
        <v>313</v>
      </c>
      <c r="K90" s="125" t="s">
        <v>313</v>
      </c>
      <c r="L90" s="125" t="s">
        <v>313</v>
      </c>
      <c r="M90" s="125" t="s">
        <v>313</v>
      </c>
      <c r="N90" s="125" t="s">
        <v>313</v>
      </c>
      <c r="O90" s="119"/>
      <c r="P90" s="119"/>
      <c r="Q90" s="126"/>
      <c r="R90" s="126"/>
      <c r="S90" s="119"/>
      <c r="T90" s="119"/>
      <c r="U90" s="119"/>
      <c r="V90" s="119"/>
      <c r="W90" s="119"/>
      <c r="X90" s="119"/>
      <c r="Y90" s="119"/>
      <c r="Z90" s="51"/>
      <c r="AA90" s="51"/>
      <c r="AB90" s="51"/>
      <c r="AE90" s="31"/>
      <c r="AF90" s="31"/>
    </row>
    <row r="91" spans="1:32" s="30" customFormat="1" ht="14.25" customHeight="1" x14ac:dyDescent="0.2">
      <c r="A91" s="614" t="s">
        <v>251</v>
      </c>
      <c r="B91" s="615"/>
      <c r="C91" s="616"/>
      <c r="D91" s="128"/>
      <c r="E91" s="128" t="s">
        <v>313</v>
      </c>
      <c r="F91" s="128" t="s">
        <v>313</v>
      </c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9"/>
      <c r="R91" s="129"/>
      <c r="S91" s="128"/>
      <c r="T91" s="128"/>
      <c r="U91" s="128"/>
      <c r="V91" s="128"/>
      <c r="W91" s="128"/>
      <c r="X91" s="128"/>
      <c r="Y91" s="128"/>
      <c r="Z91" s="38"/>
      <c r="AA91" s="38"/>
      <c r="AB91" s="38"/>
      <c r="AE91" s="31"/>
      <c r="AF91" s="31"/>
    </row>
    <row r="92" spans="1:32" s="30" customFormat="1" ht="14.25" customHeight="1" x14ac:dyDescent="0.2">
      <c r="A92" s="614" t="s">
        <v>252</v>
      </c>
      <c r="B92" s="615"/>
      <c r="C92" s="616"/>
      <c r="D92" s="128"/>
      <c r="E92" s="128" t="s">
        <v>313</v>
      </c>
      <c r="F92" s="128" t="s">
        <v>313</v>
      </c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9"/>
      <c r="R92" s="129"/>
      <c r="S92" s="128"/>
      <c r="T92" s="128"/>
      <c r="U92" s="128"/>
      <c r="V92" s="128"/>
      <c r="W92" s="128"/>
      <c r="X92" s="128"/>
      <c r="Y92" s="128"/>
      <c r="Z92" s="38"/>
      <c r="AA92" s="38"/>
      <c r="AB92" s="38"/>
      <c r="AE92" s="31"/>
      <c r="AF92" s="31"/>
    </row>
    <row r="93" spans="1:32" s="30" customFormat="1" ht="14.25" x14ac:dyDescent="0.2">
      <c r="A93" s="624" t="s">
        <v>253</v>
      </c>
      <c r="B93" s="625"/>
      <c r="C93" s="626"/>
      <c r="D93" s="182">
        <f>D64+D70</f>
        <v>28684.035</v>
      </c>
      <c r="E93" s="182">
        <f>E64</f>
        <v>1229.3494691111109</v>
      </c>
      <c r="F93" s="182">
        <f>F64+F70</f>
        <v>7581.8505308888871</v>
      </c>
      <c r="G93" s="182">
        <f>G64+G70</f>
        <v>8811.2000000000007</v>
      </c>
      <c r="H93" s="126">
        <f t="shared" ref="H93:Y93" si="2">H64+H70</f>
        <v>0</v>
      </c>
      <c r="I93" s="126">
        <f t="shared" si="2"/>
        <v>0</v>
      </c>
      <c r="J93" s="126">
        <f t="shared" si="2"/>
        <v>0</v>
      </c>
      <c r="K93" s="126">
        <f t="shared" si="2"/>
        <v>0</v>
      </c>
      <c r="L93" s="126">
        <f t="shared" si="2"/>
        <v>0</v>
      </c>
      <c r="M93" s="126">
        <f t="shared" si="2"/>
        <v>0</v>
      </c>
      <c r="N93" s="126">
        <f t="shared" si="2"/>
        <v>0</v>
      </c>
      <c r="O93" s="126">
        <f t="shared" si="2"/>
        <v>0</v>
      </c>
      <c r="P93" s="126">
        <f t="shared" si="2"/>
        <v>28684.035</v>
      </c>
      <c r="Q93" s="126">
        <f t="shared" si="2"/>
        <v>0</v>
      </c>
      <c r="R93" s="126">
        <f t="shared" si="2"/>
        <v>6182.1911999999984</v>
      </c>
      <c r="S93" s="126">
        <f t="shared" si="2"/>
        <v>16769.151600000001</v>
      </c>
      <c r="T93" s="126">
        <f t="shared" si="2"/>
        <v>5732.6921999999995</v>
      </c>
      <c r="U93" s="126">
        <f t="shared" si="2"/>
        <v>0</v>
      </c>
      <c r="V93" s="126">
        <f t="shared" si="2"/>
        <v>0</v>
      </c>
      <c r="W93" s="126">
        <f t="shared" si="2"/>
        <v>0</v>
      </c>
      <c r="X93" s="126">
        <f t="shared" si="2"/>
        <v>0</v>
      </c>
      <c r="Y93" s="126">
        <f t="shared" si="2"/>
        <v>0</v>
      </c>
      <c r="Z93" s="51"/>
      <c r="AA93" s="51"/>
      <c r="AB93" s="51"/>
      <c r="AE93" s="31"/>
      <c r="AF93" s="31"/>
    </row>
    <row r="94" spans="1:32" s="30" customFormat="1" ht="17.45" customHeight="1" x14ac:dyDescent="0.2">
      <c r="A94" s="126" t="s">
        <v>254</v>
      </c>
      <c r="B94" s="624" t="s">
        <v>255</v>
      </c>
      <c r="C94" s="625"/>
      <c r="D94" s="625"/>
      <c r="E94" s="625"/>
      <c r="F94" s="625"/>
      <c r="G94" s="625"/>
      <c r="H94" s="625"/>
      <c r="I94" s="625"/>
      <c r="J94" s="625"/>
      <c r="K94" s="625"/>
      <c r="L94" s="625"/>
      <c r="M94" s="625"/>
      <c r="N94" s="625"/>
      <c r="O94" s="625"/>
      <c r="P94" s="625"/>
      <c r="Q94" s="625"/>
      <c r="R94" s="625"/>
      <c r="S94" s="625"/>
      <c r="T94" s="625"/>
      <c r="U94" s="625"/>
      <c r="V94" s="625"/>
      <c r="W94" s="625"/>
      <c r="X94" s="625"/>
      <c r="Y94" s="626"/>
      <c r="Z94" s="51"/>
      <c r="AA94" s="51"/>
      <c r="AB94" s="51"/>
      <c r="AE94" s="31"/>
      <c r="AF94" s="31"/>
    </row>
    <row r="95" spans="1:32" s="30" customFormat="1" ht="15.6" hidden="1" customHeight="1" outlineLevel="1" x14ac:dyDescent="0.2">
      <c r="A95" s="183" t="s">
        <v>256</v>
      </c>
      <c r="B95" s="624" t="s">
        <v>327</v>
      </c>
      <c r="C95" s="625"/>
      <c r="D95" s="625"/>
      <c r="E95" s="625"/>
      <c r="F95" s="625"/>
      <c r="G95" s="625"/>
      <c r="H95" s="625"/>
      <c r="I95" s="625"/>
      <c r="J95" s="625"/>
      <c r="K95" s="625"/>
      <c r="L95" s="625"/>
      <c r="M95" s="625"/>
      <c r="N95" s="625"/>
      <c r="O95" s="625"/>
      <c r="P95" s="625"/>
      <c r="Q95" s="625"/>
      <c r="R95" s="625"/>
      <c r="S95" s="625"/>
      <c r="T95" s="625"/>
      <c r="U95" s="625"/>
      <c r="V95" s="625"/>
      <c r="W95" s="625"/>
      <c r="X95" s="625"/>
      <c r="Y95" s="626"/>
      <c r="Z95" s="44"/>
      <c r="AA95" s="44"/>
      <c r="AB95" s="44"/>
      <c r="AE95" s="31"/>
      <c r="AF95" s="31"/>
    </row>
    <row r="96" spans="1:32" s="30" customFormat="1" ht="15.75" hidden="1" customHeight="1" outlineLevel="1" x14ac:dyDescent="0.2">
      <c r="A96" s="184" t="s">
        <v>328</v>
      </c>
      <c r="B96" s="627" t="s">
        <v>128</v>
      </c>
      <c r="C96" s="628"/>
      <c r="D96" s="628"/>
      <c r="E96" s="628"/>
      <c r="F96" s="628"/>
      <c r="G96" s="628"/>
      <c r="H96" s="628"/>
      <c r="I96" s="628"/>
      <c r="J96" s="628"/>
      <c r="K96" s="628"/>
      <c r="L96" s="628"/>
      <c r="M96" s="628"/>
      <c r="N96" s="628"/>
      <c r="O96" s="628"/>
      <c r="P96" s="628"/>
      <c r="Q96" s="628"/>
      <c r="R96" s="628"/>
      <c r="S96" s="628"/>
      <c r="T96" s="628"/>
      <c r="U96" s="628"/>
      <c r="V96" s="628"/>
      <c r="W96" s="628"/>
      <c r="X96" s="628"/>
      <c r="Y96" s="629"/>
      <c r="Z96" s="44"/>
      <c r="AA96" s="44"/>
      <c r="AB96" s="44"/>
      <c r="AE96" s="31"/>
      <c r="AF96" s="31"/>
    </row>
    <row r="97" spans="1:32" s="30" customFormat="1" hidden="1" outlineLevel="1" x14ac:dyDescent="0.2">
      <c r="A97" s="126"/>
      <c r="B97" s="126"/>
      <c r="C97" s="126"/>
      <c r="D97" s="126"/>
      <c r="E97" s="185" t="s">
        <v>313</v>
      </c>
      <c r="F97" s="185" t="s">
        <v>313</v>
      </c>
      <c r="G97" s="185"/>
      <c r="H97" s="185" t="s">
        <v>313</v>
      </c>
      <c r="I97" s="185" t="s">
        <v>313</v>
      </c>
      <c r="J97" s="185" t="s">
        <v>313</v>
      </c>
      <c r="K97" s="185" t="s">
        <v>313</v>
      </c>
      <c r="L97" s="185" t="s">
        <v>313</v>
      </c>
      <c r="M97" s="185" t="s">
        <v>313</v>
      </c>
      <c r="N97" s="185" t="s">
        <v>313</v>
      </c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51"/>
      <c r="AA97" s="51"/>
      <c r="AB97" s="51"/>
      <c r="AE97" s="31"/>
      <c r="AF97" s="31"/>
    </row>
    <row r="98" spans="1:32" s="30" customFormat="1" ht="14.25" hidden="1" customHeight="1" outlineLevel="1" x14ac:dyDescent="0.2">
      <c r="A98" s="630" t="s">
        <v>258</v>
      </c>
      <c r="B98" s="631"/>
      <c r="C98" s="632"/>
      <c r="D98" s="129"/>
      <c r="E98" s="129" t="s">
        <v>313</v>
      </c>
      <c r="F98" s="129" t="s">
        <v>313</v>
      </c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38"/>
      <c r="AA98" s="38"/>
      <c r="AB98" s="38"/>
      <c r="AE98" s="31"/>
      <c r="AF98" s="31"/>
    </row>
    <row r="99" spans="1:32" s="30" customFormat="1" ht="15.75" hidden="1" customHeight="1" outlineLevel="1" x14ac:dyDescent="0.2">
      <c r="A99" s="129" t="s">
        <v>329</v>
      </c>
      <c r="B99" s="627" t="s">
        <v>145</v>
      </c>
      <c r="C99" s="628"/>
      <c r="D99" s="628"/>
      <c r="E99" s="628"/>
      <c r="F99" s="628"/>
      <c r="G99" s="628"/>
      <c r="H99" s="628"/>
      <c r="I99" s="628"/>
      <c r="J99" s="628"/>
      <c r="K99" s="628"/>
      <c r="L99" s="628"/>
      <c r="M99" s="628"/>
      <c r="N99" s="628"/>
      <c r="O99" s="628"/>
      <c r="P99" s="628"/>
      <c r="Q99" s="628"/>
      <c r="R99" s="628"/>
      <c r="S99" s="628"/>
      <c r="T99" s="628"/>
      <c r="U99" s="628"/>
      <c r="V99" s="628"/>
      <c r="W99" s="628"/>
      <c r="X99" s="628"/>
      <c r="Y99" s="629"/>
      <c r="Z99" s="57"/>
      <c r="AA99" s="57"/>
      <c r="AB99" s="57"/>
      <c r="AE99" s="31"/>
      <c r="AF99" s="31"/>
    </row>
    <row r="100" spans="1:32" s="30" customFormat="1" hidden="1" outlineLevel="1" x14ac:dyDescent="0.2">
      <c r="A100" s="126"/>
      <c r="B100" s="126"/>
      <c r="C100" s="126"/>
      <c r="D100" s="126"/>
      <c r="E100" s="185" t="s">
        <v>313</v>
      </c>
      <c r="F100" s="185" t="s">
        <v>313</v>
      </c>
      <c r="G100" s="185"/>
      <c r="H100" s="185" t="s">
        <v>313</v>
      </c>
      <c r="I100" s="185" t="s">
        <v>313</v>
      </c>
      <c r="J100" s="185" t="s">
        <v>313</v>
      </c>
      <c r="K100" s="185" t="s">
        <v>313</v>
      </c>
      <c r="L100" s="185" t="s">
        <v>313</v>
      </c>
      <c r="M100" s="185" t="s">
        <v>313</v>
      </c>
      <c r="N100" s="185" t="s">
        <v>313</v>
      </c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51"/>
      <c r="AA100" s="51"/>
      <c r="AB100" s="51"/>
      <c r="AE100" s="31"/>
      <c r="AF100" s="31"/>
    </row>
    <row r="101" spans="1:32" s="30" customFormat="1" ht="12.75" hidden="1" customHeight="1" outlineLevel="1" x14ac:dyDescent="0.2">
      <c r="A101" s="630" t="s">
        <v>260</v>
      </c>
      <c r="B101" s="631"/>
      <c r="C101" s="632"/>
      <c r="D101" s="129"/>
      <c r="E101" s="129" t="s">
        <v>313</v>
      </c>
      <c r="F101" s="129" t="s">
        <v>313</v>
      </c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38"/>
      <c r="AA101" s="38"/>
      <c r="AB101" s="38"/>
      <c r="AE101" s="31"/>
      <c r="AF101" s="31"/>
    </row>
    <row r="102" spans="1:32" s="30" customFormat="1" hidden="1" outlineLevel="1" x14ac:dyDescent="0.2">
      <c r="A102" s="183" t="s">
        <v>330</v>
      </c>
      <c r="B102" s="630" t="s">
        <v>214</v>
      </c>
      <c r="C102" s="631"/>
      <c r="D102" s="631"/>
      <c r="E102" s="631"/>
      <c r="F102" s="631"/>
      <c r="G102" s="631"/>
      <c r="H102" s="631"/>
      <c r="I102" s="631"/>
      <c r="J102" s="631"/>
      <c r="K102" s="631"/>
      <c r="L102" s="631"/>
      <c r="M102" s="631"/>
      <c r="N102" s="631"/>
      <c r="O102" s="631"/>
      <c r="P102" s="631"/>
      <c r="Q102" s="631"/>
      <c r="R102" s="631"/>
      <c r="S102" s="631"/>
      <c r="T102" s="631"/>
      <c r="U102" s="631"/>
      <c r="V102" s="631"/>
      <c r="W102" s="631"/>
      <c r="X102" s="631"/>
      <c r="Y102" s="632"/>
      <c r="Z102" s="57"/>
      <c r="AA102" s="57"/>
      <c r="AB102" s="57"/>
      <c r="AE102" s="31"/>
      <c r="AF102" s="31"/>
    </row>
    <row r="103" spans="1:32" s="30" customFormat="1" hidden="1" outlineLevel="1" x14ac:dyDescent="0.2">
      <c r="A103" s="126"/>
      <c r="B103" s="126"/>
      <c r="C103" s="126"/>
      <c r="D103" s="126"/>
      <c r="E103" s="185" t="s">
        <v>313</v>
      </c>
      <c r="F103" s="185" t="s">
        <v>313</v>
      </c>
      <c r="G103" s="185"/>
      <c r="H103" s="185" t="s">
        <v>313</v>
      </c>
      <c r="I103" s="185" t="s">
        <v>313</v>
      </c>
      <c r="J103" s="185" t="s">
        <v>313</v>
      </c>
      <c r="K103" s="185" t="s">
        <v>313</v>
      </c>
      <c r="L103" s="185" t="s">
        <v>313</v>
      </c>
      <c r="M103" s="185" t="s">
        <v>313</v>
      </c>
      <c r="N103" s="185" t="s">
        <v>313</v>
      </c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51"/>
      <c r="AA103" s="51"/>
      <c r="AB103" s="51"/>
      <c r="AE103" s="31"/>
      <c r="AF103" s="31"/>
    </row>
    <row r="104" spans="1:32" s="30" customFormat="1" ht="12.75" hidden="1" customHeight="1" outlineLevel="1" x14ac:dyDescent="0.2">
      <c r="A104" s="630" t="s">
        <v>262</v>
      </c>
      <c r="B104" s="631"/>
      <c r="C104" s="632"/>
      <c r="D104" s="129"/>
      <c r="E104" s="129" t="s">
        <v>313</v>
      </c>
      <c r="F104" s="129" t="s">
        <v>313</v>
      </c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38"/>
      <c r="AA104" s="38"/>
      <c r="AB104" s="38"/>
      <c r="AE104" s="31"/>
      <c r="AF104" s="31"/>
    </row>
    <row r="105" spans="1:32" s="30" customFormat="1" ht="12" hidden="1" customHeight="1" outlineLevel="1" x14ac:dyDescent="0.2">
      <c r="A105" s="624" t="s">
        <v>263</v>
      </c>
      <c r="B105" s="625"/>
      <c r="C105" s="626"/>
      <c r="D105" s="129"/>
      <c r="E105" s="129" t="s">
        <v>313</v>
      </c>
      <c r="F105" s="129" t="s">
        <v>313</v>
      </c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38"/>
      <c r="AA105" s="38"/>
      <c r="AB105" s="38"/>
      <c r="AE105" s="31"/>
      <c r="AF105" s="31"/>
    </row>
    <row r="106" spans="1:32" s="30" customFormat="1" ht="14.25" hidden="1" customHeight="1" outlineLevel="1" x14ac:dyDescent="0.2">
      <c r="A106" s="183" t="s">
        <v>331</v>
      </c>
      <c r="B106" s="638" t="s">
        <v>317</v>
      </c>
      <c r="C106" s="639"/>
      <c r="D106" s="639"/>
      <c r="E106" s="639"/>
      <c r="F106" s="639"/>
      <c r="G106" s="639"/>
      <c r="H106" s="639"/>
      <c r="I106" s="639"/>
      <c r="J106" s="639"/>
      <c r="K106" s="639"/>
      <c r="L106" s="639"/>
      <c r="M106" s="639"/>
      <c r="N106" s="639"/>
      <c r="O106" s="639"/>
      <c r="P106" s="639"/>
      <c r="Q106" s="639"/>
      <c r="R106" s="639"/>
      <c r="S106" s="639"/>
      <c r="T106" s="639"/>
      <c r="U106" s="639"/>
      <c r="V106" s="639"/>
      <c r="W106" s="639"/>
      <c r="X106" s="639"/>
      <c r="Y106" s="640"/>
      <c r="Z106" s="57"/>
      <c r="AA106" s="57"/>
      <c r="AB106" s="57"/>
      <c r="AE106" s="31"/>
      <c r="AF106" s="31"/>
    </row>
    <row r="107" spans="1:32" s="30" customFormat="1" ht="15" hidden="1" customHeight="1" outlineLevel="1" x14ac:dyDescent="0.2">
      <c r="A107" s="186" t="s">
        <v>265</v>
      </c>
      <c r="B107" s="627" t="s">
        <v>128</v>
      </c>
      <c r="C107" s="628"/>
      <c r="D107" s="628"/>
      <c r="E107" s="628"/>
      <c r="F107" s="628"/>
      <c r="G107" s="628"/>
      <c r="H107" s="628"/>
      <c r="I107" s="628"/>
      <c r="J107" s="628"/>
      <c r="K107" s="628"/>
      <c r="L107" s="628"/>
      <c r="M107" s="628"/>
      <c r="N107" s="628"/>
      <c r="O107" s="628"/>
      <c r="P107" s="628"/>
      <c r="Q107" s="628"/>
      <c r="R107" s="628"/>
      <c r="S107" s="628"/>
      <c r="T107" s="628"/>
      <c r="U107" s="628"/>
      <c r="V107" s="628"/>
      <c r="W107" s="628"/>
      <c r="X107" s="628"/>
      <c r="Y107" s="629"/>
      <c r="AE107" s="31"/>
      <c r="AF107" s="31"/>
    </row>
    <row r="108" spans="1:32" s="30" customFormat="1" hidden="1" outlineLevel="1" x14ac:dyDescent="0.2">
      <c r="A108" s="126"/>
      <c r="B108" s="126"/>
      <c r="C108" s="126"/>
      <c r="D108" s="126"/>
      <c r="E108" s="185" t="s">
        <v>313</v>
      </c>
      <c r="F108" s="185" t="s">
        <v>313</v>
      </c>
      <c r="G108" s="185"/>
      <c r="H108" s="185" t="s">
        <v>313</v>
      </c>
      <c r="I108" s="185" t="s">
        <v>313</v>
      </c>
      <c r="J108" s="185" t="s">
        <v>313</v>
      </c>
      <c r="K108" s="185" t="s">
        <v>313</v>
      </c>
      <c r="L108" s="185" t="s">
        <v>313</v>
      </c>
      <c r="M108" s="185" t="s">
        <v>313</v>
      </c>
      <c r="N108" s="185" t="s">
        <v>313</v>
      </c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51"/>
      <c r="AA108" s="51"/>
      <c r="AB108" s="51"/>
      <c r="AE108" s="31"/>
      <c r="AF108" s="31"/>
    </row>
    <row r="109" spans="1:32" s="30" customFormat="1" ht="14.25" hidden="1" customHeight="1" outlineLevel="1" x14ac:dyDescent="0.2">
      <c r="A109" s="630" t="s">
        <v>266</v>
      </c>
      <c r="B109" s="631"/>
      <c r="C109" s="632"/>
      <c r="D109" s="129"/>
      <c r="E109" s="129" t="s">
        <v>313</v>
      </c>
      <c r="F109" s="129" t="s">
        <v>313</v>
      </c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38"/>
      <c r="AA109" s="38"/>
      <c r="AB109" s="38"/>
      <c r="AE109" s="31"/>
      <c r="AF109" s="31"/>
    </row>
    <row r="110" spans="1:32" s="30" customFormat="1" ht="15.75" hidden="1" outlineLevel="1" x14ac:dyDescent="0.25">
      <c r="A110" s="44"/>
      <c r="B110" s="44"/>
      <c r="C110" s="44"/>
      <c r="D110" s="44"/>
      <c r="E110" s="187"/>
      <c r="F110" s="187"/>
      <c r="G110" s="187"/>
      <c r="H110" s="187"/>
      <c r="I110" s="187"/>
      <c r="J110" s="187"/>
      <c r="K110" s="187"/>
      <c r="L110" s="188">
        <v>3</v>
      </c>
      <c r="M110" s="187"/>
      <c r="N110" s="187"/>
      <c r="O110" s="44"/>
      <c r="P110" s="637" t="s">
        <v>318</v>
      </c>
      <c r="Q110" s="637"/>
      <c r="R110" s="637"/>
      <c r="S110" s="637"/>
      <c r="T110" s="637"/>
      <c r="U110" s="637"/>
      <c r="V110" s="637"/>
      <c r="W110" s="637"/>
      <c r="X110" s="637"/>
      <c r="Y110" s="637"/>
      <c r="Z110" s="51"/>
      <c r="AA110" s="51"/>
      <c r="AB110" s="51"/>
      <c r="AE110" s="31"/>
      <c r="AF110" s="31"/>
    </row>
    <row r="111" spans="1:32" s="30" customFormat="1" ht="15.75" hidden="1" customHeight="1" outlineLevel="1" x14ac:dyDescent="0.2">
      <c r="A111" s="126">
        <v>1</v>
      </c>
      <c r="B111" s="126">
        <v>2</v>
      </c>
      <c r="C111" s="126">
        <v>3</v>
      </c>
      <c r="D111" s="126">
        <v>4</v>
      </c>
      <c r="E111" s="126">
        <v>5</v>
      </c>
      <c r="F111" s="126">
        <v>6</v>
      </c>
      <c r="G111" s="126"/>
      <c r="H111" s="189">
        <v>7</v>
      </c>
      <c r="I111" s="126">
        <v>8</v>
      </c>
      <c r="J111" s="126">
        <v>9</v>
      </c>
      <c r="K111" s="126">
        <v>10</v>
      </c>
      <c r="L111" s="190">
        <v>11</v>
      </c>
      <c r="M111" s="190">
        <v>12</v>
      </c>
      <c r="N111" s="190">
        <v>13</v>
      </c>
      <c r="O111" s="191">
        <v>14</v>
      </c>
      <c r="P111" s="191">
        <v>15</v>
      </c>
      <c r="Q111" s="191">
        <v>16</v>
      </c>
      <c r="R111" s="191">
        <v>17</v>
      </c>
      <c r="S111" s="191">
        <v>18</v>
      </c>
      <c r="T111" s="191">
        <v>19</v>
      </c>
      <c r="U111" s="191">
        <v>20</v>
      </c>
      <c r="V111" s="191">
        <v>21</v>
      </c>
      <c r="W111" s="191">
        <v>22</v>
      </c>
      <c r="X111" s="191">
        <v>23</v>
      </c>
      <c r="Y111" s="191">
        <v>24</v>
      </c>
      <c r="Z111" s="51"/>
      <c r="AA111" s="51"/>
      <c r="AB111" s="51"/>
      <c r="AE111" s="31"/>
      <c r="AF111" s="31"/>
    </row>
    <row r="112" spans="1:32" s="30" customFormat="1" ht="16.5" hidden="1" customHeight="1" outlineLevel="1" x14ac:dyDescent="0.2">
      <c r="A112" s="192" t="s">
        <v>267</v>
      </c>
      <c r="B112" s="627" t="s">
        <v>145</v>
      </c>
      <c r="C112" s="628"/>
      <c r="D112" s="628"/>
      <c r="E112" s="628"/>
      <c r="F112" s="628"/>
      <c r="G112" s="628"/>
      <c r="H112" s="628"/>
      <c r="I112" s="628"/>
      <c r="J112" s="628"/>
      <c r="K112" s="628"/>
      <c r="L112" s="628"/>
      <c r="M112" s="628"/>
      <c r="N112" s="628"/>
      <c r="O112" s="628"/>
      <c r="P112" s="628"/>
      <c r="Q112" s="628"/>
      <c r="R112" s="628"/>
      <c r="S112" s="628"/>
      <c r="T112" s="628"/>
      <c r="U112" s="628"/>
      <c r="V112" s="628"/>
      <c r="W112" s="628"/>
      <c r="X112" s="628"/>
      <c r="Y112" s="629"/>
      <c r="AE112" s="31"/>
      <c r="AF112" s="31"/>
    </row>
    <row r="113" spans="1:32" s="30" customFormat="1" hidden="1" outlineLevel="1" x14ac:dyDescent="0.2">
      <c r="A113" s="126"/>
      <c r="B113" s="126"/>
      <c r="C113" s="126"/>
      <c r="D113" s="126"/>
      <c r="E113" s="185" t="s">
        <v>313</v>
      </c>
      <c r="F113" s="185" t="s">
        <v>313</v>
      </c>
      <c r="G113" s="185"/>
      <c r="H113" s="185" t="s">
        <v>313</v>
      </c>
      <c r="I113" s="185" t="s">
        <v>313</v>
      </c>
      <c r="J113" s="185" t="s">
        <v>313</v>
      </c>
      <c r="K113" s="185" t="s">
        <v>313</v>
      </c>
      <c r="L113" s="185" t="s">
        <v>313</v>
      </c>
      <c r="M113" s="185" t="s">
        <v>313</v>
      </c>
      <c r="N113" s="185" t="s">
        <v>313</v>
      </c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51"/>
      <c r="AA113" s="51"/>
      <c r="AB113" s="51"/>
      <c r="AE113" s="31"/>
      <c r="AF113" s="31"/>
    </row>
    <row r="114" spans="1:32" s="30" customFormat="1" ht="14.25" hidden="1" customHeight="1" outlineLevel="1" x14ac:dyDescent="0.2">
      <c r="A114" s="630" t="s">
        <v>268</v>
      </c>
      <c r="B114" s="631"/>
      <c r="C114" s="632"/>
      <c r="D114" s="129"/>
      <c r="E114" s="129" t="s">
        <v>313</v>
      </c>
      <c r="F114" s="129" t="s">
        <v>313</v>
      </c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38"/>
      <c r="AA114" s="38"/>
      <c r="AB114" s="38"/>
      <c r="AE114" s="31"/>
      <c r="AF114" s="31"/>
    </row>
    <row r="115" spans="1:32" s="30" customFormat="1" ht="14.25" hidden="1" customHeight="1" outlineLevel="1" x14ac:dyDescent="0.2">
      <c r="A115" s="129" t="s">
        <v>269</v>
      </c>
      <c r="B115" s="627" t="s">
        <v>152</v>
      </c>
      <c r="C115" s="628"/>
      <c r="D115" s="628"/>
      <c r="E115" s="628"/>
      <c r="F115" s="628"/>
      <c r="G115" s="628"/>
      <c r="H115" s="628"/>
      <c r="I115" s="628"/>
      <c r="J115" s="628"/>
      <c r="K115" s="628"/>
      <c r="L115" s="628"/>
      <c r="M115" s="628"/>
      <c r="N115" s="628"/>
      <c r="O115" s="628"/>
      <c r="P115" s="628"/>
      <c r="Q115" s="628"/>
      <c r="R115" s="628"/>
      <c r="S115" s="628"/>
      <c r="T115" s="628"/>
      <c r="U115" s="628"/>
      <c r="V115" s="628"/>
      <c r="W115" s="628"/>
      <c r="X115" s="628"/>
      <c r="Y115" s="629"/>
      <c r="AE115" s="31"/>
      <c r="AF115" s="31"/>
    </row>
    <row r="116" spans="1:32" s="30" customFormat="1" hidden="1" outlineLevel="1" x14ac:dyDescent="0.2">
      <c r="A116" s="126"/>
      <c r="B116" s="126"/>
      <c r="C116" s="126"/>
      <c r="D116" s="126"/>
      <c r="E116" s="185" t="s">
        <v>313</v>
      </c>
      <c r="F116" s="185" t="s">
        <v>313</v>
      </c>
      <c r="G116" s="185"/>
      <c r="H116" s="185" t="s">
        <v>313</v>
      </c>
      <c r="I116" s="185" t="s">
        <v>313</v>
      </c>
      <c r="J116" s="185" t="s">
        <v>313</v>
      </c>
      <c r="K116" s="185" t="s">
        <v>313</v>
      </c>
      <c r="L116" s="185" t="s">
        <v>313</v>
      </c>
      <c r="M116" s="185" t="s">
        <v>313</v>
      </c>
      <c r="N116" s="185" t="s">
        <v>313</v>
      </c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51"/>
      <c r="AA116" s="51"/>
      <c r="AB116" s="51"/>
      <c r="AE116" s="31"/>
      <c r="AF116" s="31"/>
    </row>
    <row r="117" spans="1:32" s="30" customFormat="1" ht="12.75" hidden="1" customHeight="1" outlineLevel="1" x14ac:dyDescent="0.2">
      <c r="A117" s="630" t="s">
        <v>270</v>
      </c>
      <c r="B117" s="631"/>
      <c r="C117" s="632"/>
      <c r="D117" s="129"/>
      <c r="E117" s="129" t="s">
        <v>313</v>
      </c>
      <c r="F117" s="129" t="s">
        <v>313</v>
      </c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38"/>
      <c r="AA117" s="38"/>
      <c r="AB117" s="38"/>
      <c r="AE117" s="31"/>
      <c r="AF117" s="31"/>
    </row>
    <row r="118" spans="1:32" s="30" customFormat="1" hidden="1" outlineLevel="1" x14ac:dyDescent="0.2">
      <c r="A118" s="192"/>
      <c r="B118" s="192"/>
      <c r="C118" s="192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93"/>
      <c r="U118" s="129"/>
      <c r="V118" s="129"/>
      <c r="W118" s="129"/>
      <c r="X118" s="129"/>
      <c r="Y118" s="129"/>
      <c r="AE118" s="31"/>
      <c r="AF118" s="31"/>
    </row>
    <row r="119" spans="1:32" s="30" customFormat="1" ht="17.25" hidden="1" customHeight="1" outlineLevel="1" x14ac:dyDescent="0.2">
      <c r="A119" s="192" t="s">
        <v>332</v>
      </c>
      <c r="B119" s="627" t="s">
        <v>226</v>
      </c>
      <c r="C119" s="628"/>
      <c r="D119" s="628"/>
      <c r="E119" s="628"/>
      <c r="F119" s="628"/>
      <c r="G119" s="628"/>
      <c r="H119" s="628"/>
      <c r="I119" s="628"/>
      <c r="J119" s="628"/>
      <c r="K119" s="628"/>
      <c r="L119" s="628"/>
      <c r="M119" s="628"/>
      <c r="N119" s="628"/>
      <c r="O119" s="628"/>
      <c r="P119" s="628"/>
      <c r="Q119" s="628"/>
      <c r="R119" s="628"/>
      <c r="S119" s="628"/>
      <c r="T119" s="628"/>
      <c r="U119" s="628"/>
      <c r="V119" s="628"/>
      <c r="W119" s="628"/>
      <c r="X119" s="628"/>
      <c r="Y119" s="629"/>
      <c r="AE119" s="31"/>
      <c r="AF119" s="31"/>
    </row>
    <row r="120" spans="1:32" s="30" customFormat="1" hidden="1" outlineLevel="1" x14ac:dyDescent="0.2">
      <c r="A120" s="126"/>
      <c r="B120" s="126"/>
      <c r="C120" s="126"/>
      <c r="D120" s="126"/>
      <c r="E120" s="185" t="s">
        <v>313</v>
      </c>
      <c r="F120" s="185" t="s">
        <v>313</v>
      </c>
      <c r="G120" s="185"/>
      <c r="H120" s="185" t="s">
        <v>313</v>
      </c>
      <c r="I120" s="185" t="s">
        <v>313</v>
      </c>
      <c r="J120" s="185" t="s">
        <v>313</v>
      </c>
      <c r="K120" s="185" t="s">
        <v>313</v>
      </c>
      <c r="L120" s="185" t="s">
        <v>313</v>
      </c>
      <c r="M120" s="185" t="s">
        <v>313</v>
      </c>
      <c r="N120" s="185" t="s">
        <v>313</v>
      </c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51"/>
      <c r="AA120" s="51"/>
      <c r="AB120" s="51"/>
      <c r="AE120" s="31"/>
      <c r="AF120" s="31"/>
    </row>
    <row r="121" spans="1:32" s="30" customFormat="1" ht="12.75" hidden="1" customHeight="1" outlineLevel="1" x14ac:dyDescent="0.2">
      <c r="A121" s="630" t="s">
        <v>333</v>
      </c>
      <c r="B121" s="631"/>
      <c r="C121" s="632"/>
      <c r="D121" s="129"/>
      <c r="E121" s="129" t="s">
        <v>313</v>
      </c>
      <c r="F121" s="129" t="s">
        <v>313</v>
      </c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38"/>
      <c r="AA121" s="38"/>
      <c r="AB121" s="38"/>
      <c r="AE121" s="31"/>
      <c r="AF121" s="31"/>
    </row>
    <row r="122" spans="1:32" s="30" customFormat="1" ht="13.5" hidden="1" customHeight="1" outlineLevel="1" x14ac:dyDescent="0.2">
      <c r="A122" s="129" t="s">
        <v>273</v>
      </c>
      <c r="B122" s="630" t="s">
        <v>214</v>
      </c>
      <c r="C122" s="631"/>
      <c r="D122" s="631"/>
      <c r="E122" s="631"/>
      <c r="F122" s="631"/>
      <c r="G122" s="631"/>
      <c r="H122" s="631"/>
      <c r="I122" s="631"/>
      <c r="J122" s="631"/>
      <c r="K122" s="631"/>
      <c r="L122" s="631"/>
      <c r="M122" s="631"/>
      <c r="N122" s="631"/>
      <c r="O122" s="631"/>
      <c r="P122" s="631"/>
      <c r="Q122" s="631"/>
      <c r="R122" s="631"/>
      <c r="S122" s="631"/>
      <c r="T122" s="631"/>
      <c r="U122" s="631"/>
      <c r="V122" s="631"/>
      <c r="W122" s="631"/>
      <c r="X122" s="631"/>
      <c r="Y122" s="632"/>
      <c r="Z122" s="38"/>
      <c r="AA122" s="38"/>
      <c r="AB122" s="38"/>
      <c r="AE122" s="31"/>
      <c r="AF122" s="31"/>
    </row>
    <row r="123" spans="1:32" s="30" customFormat="1" hidden="1" outlineLevel="1" x14ac:dyDescent="0.2">
      <c r="A123" s="126"/>
      <c r="B123" s="126"/>
      <c r="C123" s="126"/>
      <c r="D123" s="126"/>
      <c r="E123" s="185" t="s">
        <v>313</v>
      </c>
      <c r="F123" s="185" t="s">
        <v>313</v>
      </c>
      <c r="G123" s="185"/>
      <c r="H123" s="185" t="s">
        <v>313</v>
      </c>
      <c r="I123" s="185" t="s">
        <v>313</v>
      </c>
      <c r="J123" s="185" t="s">
        <v>313</v>
      </c>
      <c r="K123" s="185" t="s">
        <v>313</v>
      </c>
      <c r="L123" s="185" t="s">
        <v>313</v>
      </c>
      <c r="M123" s="185" t="s">
        <v>313</v>
      </c>
      <c r="N123" s="185" t="s">
        <v>313</v>
      </c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51"/>
      <c r="AA123" s="51"/>
      <c r="AB123" s="51"/>
      <c r="AE123" s="31"/>
      <c r="AF123" s="31"/>
    </row>
    <row r="124" spans="1:32" s="30" customFormat="1" ht="15.75" hidden="1" customHeight="1" outlineLevel="1" x14ac:dyDescent="0.2">
      <c r="A124" s="636" t="s">
        <v>274</v>
      </c>
      <c r="B124" s="636"/>
      <c r="C124" s="636"/>
      <c r="D124" s="129"/>
      <c r="E124" s="129" t="s">
        <v>313</v>
      </c>
      <c r="F124" s="129" t="s">
        <v>313</v>
      </c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38"/>
      <c r="AA124" s="38"/>
      <c r="AB124" s="38"/>
      <c r="AE124" s="31"/>
      <c r="AF124" s="31"/>
    </row>
    <row r="125" spans="1:32" s="30" customFormat="1" ht="15" hidden="1" customHeight="1" outlineLevel="1" x14ac:dyDescent="0.2">
      <c r="A125" s="636" t="s">
        <v>275</v>
      </c>
      <c r="B125" s="636"/>
      <c r="C125" s="636"/>
      <c r="D125" s="129"/>
      <c r="E125" s="129" t="s">
        <v>210</v>
      </c>
      <c r="F125" s="129" t="s">
        <v>210</v>
      </c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38"/>
      <c r="AA125" s="38"/>
      <c r="AB125" s="38"/>
      <c r="AE125" s="31"/>
      <c r="AF125" s="31"/>
    </row>
    <row r="126" spans="1:32" s="30" customFormat="1" collapsed="1" x14ac:dyDescent="0.2">
      <c r="A126" s="624" t="s">
        <v>276</v>
      </c>
      <c r="B126" s="625"/>
      <c r="C126" s="626"/>
      <c r="D126" s="126"/>
      <c r="E126" s="194"/>
      <c r="F126" s="129"/>
      <c r="G126" s="129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51"/>
      <c r="AA126" s="51"/>
      <c r="AB126" s="51"/>
      <c r="AE126" s="31"/>
      <c r="AF126" s="31"/>
    </row>
    <row r="127" spans="1:32" s="30" customFormat="1" ht="14.25" x14ac:dyDescent="0.2">
      <c r="A127" s="633" t="s">
        <v>155</v>
      </c>
      <c r="B127" s="633"/>
      <c r="C127" s="633"/>
      <c r="D127" s="195">
        <f>D55+D93+D126</f>
        <v>28684.035</v>
      </c>
      <c r="E127" s="195">
        <f>E64+E70</f>
        <v>1229.3494691111109</v>
      </c>
      <c r="F127" s="195">
        <f t="shared" ref="F127:G127" si="3">F55+F93+F126</f>
        <v>7581.8505308888871</v>
      </c>
      <c r="G127" s="195">
        <f t="shared" si="3"/>
        <v>8811.2000000000007</v>
      </c>
      <c r="H127" s="196">
        <f t="shared" ref="H127:Y127" si="4">H55+H93+H126</f>
        <v>0</v>
      </c>
      <c r="I127" s="196">
        <f t="shared" si="4"/>
        <v>0</v>
      </c>
      <c r="J127" s="196">
        <f t="shared" si="4"/>
        <v>0</v>
      </c>
      <c r="K127" s="196">
        <f t="shared" si="4"/>
        <v>0</v>
      </c>
      <c r="L127" s="196">
        <f t="shared" si="4"/>
        <v>0</v>
      </c>
      <c r="M127" s="196">
        <f t="shared" si="4"/>
        <v>0</v>
      </c>
      <c r="N127" s="196">
        <f t="shared" si="4"/>
        <v>0</v>
      </c>
      <c r="O127" s="196">
        <f t="shared" si="4"/>
        <v>0</v>
      </c>
      <c r="P127" s="196">
        <f t="shared" si="4"/>
        <v>28684.035</v>
      </c>
      <c r="Q127" s="196">
        <f t="shared" si="4"/>
        <v>0</v>
      </c>
      <c r="R127" s="196">
        <f t="shared" si="4"/>
        <v>6182.1911999999984</v>
      </c>
      <c r="S127" s="196">
        <f t="shared" si="4"/>
        <v>16769.151600000001</v>
      </c>
      <c r="T127" s="196">
        <f t="shared" si="4"/>
        <v>5732.6921999999995</v>
      </c>
      <c r="U127" s="196">
        <f t="shared" si="4"/>
        <v>0</v>
      </c>
      <c r="V127" s="196">
        <f t="shared" si="4"/>
        <v>0</v>
      </c>
      <c r="W127" s="196">
        <f t="shared" si="4"/>
        <v>0</v>
      </c>
      <c r="X127" s="196">
        <f t="shared" si="4"/>
        <v>0</v>
      </c>
      <c r="Y127" s="196">
        <f t="shared" si="4"/>
        <v>0</v>
      </c>
      <c r="Z127" s="51"/>
      <c r="AA127" s="51"/>
      <c r="AB127" s="51"/>
      <c r="AE127" s="31"/>
      <c r="AF127" s="31"/>
    </row>
    <row r="128" spans="1:32" s="30" customFormat="1" x14ac:dyDescent="0.2">
      <c r="A128" s="133" t="s">
        <v>278</v>
      </c>
      <c r="B128" s="133"/>
      <c r="C128" s="133"/>
      <c r="D128" s="133"/>
      <c r="E128" s="133"/>
      <c r="F128" s="133"/>
      <c r="G128" s="133"/>
      <c r="H128" s="133"/>
      <c r="I128" s="51"/>
      <c r="J128" s="51"/>
      <c r="K128" s="51"/>
      <c r="L128" s="51"/>
      <c r="M128" s="51"/>
      <c r="N128" s="51"/>
      <c r="O128" s="51"/>
      <c r="P128" s="51"/>
      <c r="Q128" s="44"/>
      <c r="R128" s="44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E128" s="31"/>
      <c r="AF128" s="31"/>
    </row>
    <row r="129" spans="1:32" s="30" customFormat="1" x14ac:dyDescent="0.2">
      <c r="A129" s="134" t="s">
        <v>334</v>
      </c>
      <c r="B129" s="38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44"/>
      <c r="R129" s="44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E129" s="31"/>
      <c r="AF129" s="31"/>
    </row>
    <row r="130" spans="1:32" s="30" customFormat="1" x14ac:dyDescent="0.2">
      <c r="A130" s="134" t="s">
        <v>335</v>
      </c>
      <c r="B130" s="134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44"/>
      <c r="R130" s="44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E130" s="31"/>
      <c r="AF130" s="31"/>
    </row>
    <row r="131" spans="1:32" s="30" customFormat="1" ht="13.5" customHeight="1" x14ac:dyDescent="0.2">
      <c r="A131" s="634" t="s">
        <v>279</v>
      </c>
      <c r="B131" s="634"/>
      <c r="C131" s="634"/>
      <c r="D131" s="634"/>
      <c r="E131" s="634"/>
      <c r="F131" s="634"/>
      <c r="G131" s="634"/>
      <c r="H131" s="634"/>
      <c r="I131" s="634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E131" s="31"/>
      <c r="AF131" s="31"/>
    </row>
    <row r="132" spans="1:32" s="30" customFormat="1" ht="9.75" customHeight="1" x14ac:dyDescent="0.25">
      <c r="A132" s="135"/>
      <c r="B132" s="135"/>
      <c r="C132" s="135"/>
      <c r="D132" s="135"/>
      <c r="E132" s="135"/>
      <c r="F132" s="135"/>
      <c r="G132" s="135"/>
      <c r="H132" s="135"/>
      <c r="I132" s="135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E132" s="31"/>
      <c r="AF132" s="31"/>
    </row>
    <row r="133" spans="1:32" s="82" customFormat="1" ht="31.5" customHeight="1" x14ac:dyDescent="0.25">
      <c r="A133" s="635" t="s">
        <v>336</v>
      </c>
      <c r="B133" s="635"/>
      <c r="C133" s="635"/>
      <c r="D133" s="136"/>
      <c r="E133" s="553" t="s">
        <v>337</v>
      </c>
      <c r="F133" s="553"/>
      <c r="G133" s="553"/>
      <c r="H133" s="553"/>
      <c r="I133" s="553"/>
      <c r="J133" s="553"/>
      <c r="K133" s="553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7"/>
      <c r="X133" s="137"/>
    </row>
    <row r="134" spans="1:32" s="82" customFormat="1" ht="12" customHeight="1" x14ac:dyDescent="0.2">
      <c r="A134" s="83" t="s">
        <v>338</v>
      </c>
      <c r="B134" s="84"/>
      <c r="C134" s="84"/>
      <c r="D134" s="85"/>
      <c r="E134" s="86" t="s">
        <v>339</v>
      </c>
      <c r="F134" s="87"/>
      <c r="G134" s="87"/>
      <c r="H134" s="87"/>
      <c r="I134" s="88" t="s">
        <v>340</v>
      </c>
      <c r="J134" s="89"/>
      <c r="K134" s="89"/>
      <c r="L134" s="89"/>
      <c r="M134" s="90"/>
      <c r="N134" s="90"/>
      <c r="O134" s="90"/>
      <c r="P134" s="90"/>
      <c r="Q134" s="90"/>
      <c r="R134" s="90"/>
      <c r="S134" s="90"/>
      <c r="T134" s="90"/>
      <c r="U134" s="90"/>
      <c r="V134" s="90"/>
    </row>
  </sheetData>
  <mergeCells count="120">
    <mergeCell ref="A127:C127"/>
    <mergeCell ref="A131:I131"/>
    <mergeCell ref="A133:C133"/>
    <mergeCell ref="E133:K133"/>
    <mergeCell ref="G20:G21"/>
    <mergeCell ref="B119:Y119"/>
    <mergeCell ref="A121:C121"/>
    <mergeCell ref="B122:Y122"/>
    <mergeCell ref="A124:C124"/>
    <mergeCell ref="A125:C125"/>
    <mergeCell ref="A126:C126"/>
    <mergeCell ref="A109:C109"/>
    <mergeCell ref="P110:Y110"/>
    <mergeCell ref="B112:Y112"/>
    <mergeCell ref="A114:C114"/>
    <mergeCell ref="B115:Y115"/>
    <mergeCell ref="A117:C117"/>
    <mergeCell ref="A101:C101"/>
    <mergeCell ref="B102:Y102"/>
    <mergeCell ref="A104:C104"/>
    <mergeCell ref="A105:C105"/>
    <mergeCell ref="B106:Y106"/>
    <mergeCell ref="B107:Y107"/>
    <mergeCell ref="A93:C93"/>
    <mergeCell ref="B94:Y94"/>
    <mergeCell ref="B95:Y95"/>
    <mergeCell ref="B96:Y96"/>
    <mergeCell ref="A98:C98"/>
    <mergeCell ref="B99:Y99"/>
    <mergeCell ref="A84:C84"/>
    <mergeCell ref="B86:Y86"/>
    <mergeCell ref="A88:C88"/>
    <mergeCell ref="B89:Y89"/>
    <mergeCell ref="A91:C91"/>
    <mergeCell ref="A92:C92"/>
    <mergeCell ref="B75:Y75"/>
    <mergeCell ref="B76:Y76"/>
    <mergeCell ref="A78:C78"/>
    <mergeCell ref="B79:Y79"/>
    <mergeCell ref="A81:C81"/>
    <mergeCell ref="B82:Y82"/>
    <mergeCell ref="A64:C64"/>
    <mergeCell ref="B65:Y65"/>
    <mergeCell ref="A70:C70"/>
    <mergeCell ref="B71:Y71"/>
    <mergeCell ref="A73:C73"/>
    <mergeCell ref="A74:C74"/>
    <mergeCell ref="A53:C53"/>
    <mergeCell ref="A54:C54"/>
    <mergeCell ref="A55:C55"/>
    <mergeCell ref="B56:Y56"/>
    <mergeCell ref="B57:Y57"/>
    <mergeCell ref="B58:Y58"/>
    <mergeCell ref="B43:Y43"/>
    <mergeCell ref="A45:C45"/>
    <mergeCell ref="P46:Y46"/>
    <mergeCell ref="B48:Y48"/>
    <mergeCell ref="A50:C50"/>
    <mergeCell ref="B51:Y51"/>
    <mergeCell ref="A35:C35"/>
    <mergeCell ref="B36:Y36"/>
    <mergeCell ref="B37:Y37"/>
    <mergeCell ref="A39:C39"/>
    <mergeCell ref="B40:Y40"/>
    <mergeCell ref="A42:C42"/>
    <mergeCell ref="B25:Y25"/>
    <mergeCell ref="A28:C28"/>
    <mergeCell ref="B29:Y29"/>
    <mergeCell ref="A31:C31"/>
    <mergeCell ref="B32:Y32"/>
    <mergeCell ref="A34:C34"/>
    <mergeCell ref="AA21:AA24"/>
    <mergeCell ref="AB21:AB24"/>
    <mergeCell ref="AC21:AC24"/>
    <mergeCell ref="AD21:AD24"/>
    <mergeCell ref="AE21:AE24"/>
    <mergeCell ref="B23:Y23"/>
    <mergeCell ref="B24:Y24"/>
    <mergeCell ref="D19:D21"/>
    <mergeCell ref="E19:K19"/>
    <mergeCell ref="O19:O21"/>
    <mergeCell ref="P19:P21"/>
    <mergeCell ref="Q19:Q21"/>
    <mergeCell ref="R19:R21"/>
    <mergeCell ref="E20:E21"/>
    <mergeCell ref="F20:F21"/>
    <mergeCell ref="H20:H21"/>
    <mergeCell ref="I20:I21"/>
    <mergeCell ref="Q18:T18"/>
    <mergeCell ref="U18:U21"/>
    <mergeCell ref="V18:V21"/>
    <mergeCell ref="W18:W21"/>
    <mergeCell ref="X18:X21"/>
    <mergeCell ref="Y18:Y21"/>
    <mergeCell ref="S19:S21"/>
    <mergeCell ref="T19:T21"/>
    <mergeCell ref="A16:V16"/>
    <mergeCell ref="A17:Y17"/>
    <mergeCell ref="A18:A21"/>
    <mergeCell ref="B18:B21"/>
    <mergeCell ref="C18:C21"/>
    <mergeCell ref="D18:K18"/>
    <mergeCell ref="L18:L21"/>
    <mergeCell ref="M18:M21"/>
    <mergeCell ref="N18:N21"/>
    <mergeCell ref="O18:P18"/>
    <mergeCell ref="J20:K20"/>
    <mergeCell ref="D8:E8"/>
    <mergeCell ref="B9:E9"/>
    <mergeCell ref="Q10:R10"/>
    <mergeCell ref="O11:T11"/>
    <mergeCell ref="A14:V14"/>
    <mergeCell ref="A15:Y15"/>
    <mergeCell ref="C3:D3"/>
    <mergeCell ref="P3:Y3"/>
    <mergeCell ref="B5:E5"/>
    <mergeCell ref="O5:R5"/>
    <mergeCell ref="B6:E6"/>
    <mergeCell ref="B7:E7"/>
    <mergeCell ref="O7:R7"/>
  </mergeCells>
  <pageMargins left="0.23622047244094491" right="0.23622047244094491" top="0" bottom="0" header="0.31496062992125984" footer="0.31496062992125984"/>
  <pageSetup paperSize="8" scale="57" orientation="landscape" r:id="rId1"/>
  <headerFooter differentFirst="1"/>
  <rowBreaks count="1" manualBreakCount="1">
    <brk id="45" max="2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63"/>
  <sheetViews>
    <sheetView tabSelected="1" workbookViewId="0">
      <selection activeCell="D15" sqref="D15:I15"/>
    </sheetView>
  </sheetViews>
  <sheetFormatPr defaultRowHeight="15" x14ac:dyDescent="0.25"/>
  <cols>
    <col min="1" max="1" width="4.85546875" style="1" customWidth="1"/>
    <col min="2" max="2" width="4.5703125" style="1" customWidth="1"/>
    <col min="3" max="3" width="7.5703125" style="1" customWidth="1"/>
    <col min="4" max="4" width="53.5703125" style="1" customWidth="1"/>
    <col min="5" max="5" width="10.85546875" style="1" customWidth="1"/>
    <col min="6" max="6" width="13.42578125" style="1" customWidth="1"/>
    <col min="7" max="7" width="13.28515625" style="1" customWidth="1"/>
    <col min="8" max="8" width="17.28515625" style="1" customWidth="1"/>
    <col min="9" max="9" width="16.7109375" style="1" customWidth="1"/>
    <col min="10" max="16384" width="9.140625" style="1"/>
  </cols>
  <sheetData>
    <row r="1" spans="3:9" x14ac:dyDescent="0.25">
      <c r="C1" s="172"/>
      <c r="G1" s="198"/>
      <c r="H1" s="198"/>
      <c r="I1" s="198"/>
    </row>
    <row r="2" spans="3:9" ht="15" customHeight="1" x14ac:dyDescent="0.25">
      <c r="C2" s="172"/>
      <c r="G2" s="222"/>
      <c r="H2" s="650" t="s">
        <v>548</v>
      </c>
      <c r="I2" s="650"/>
    </row>
    <row r="3" spans="3:9" ht="15" customHeight="1" x14ac:dyDescent="0.25">
      <c r="C3" s="172"/>
      <c r="G3" s="222"/>
      <c r="H3" s="650" t="s">
        <v>546</v>
      </c>
      <c r="I3" s="650"/>
    </row>
    <row r="4" spans="3:9" ht="15" customHeight="1" x14ac:dyDescent="0.25">
      <c r="C4" s="172"/>
      <c r="G4" s="222"/>
      <c r="H4" s="651"/>
      <c r="I4" s="651"/>
    </row>
    <row r="5" spans="3:9" x14ac:dyDescent="0.25">
      <c r="C5" s="172"/>
      <c r="G5" s="222"/>
      <c r="H5" s="651"/>
      <c r="I5" s="651"/>
    </row>
    <row r="6" spans="3:9" ht="18.75" x14ac:dyDescent="0.25">
      <c r="C6" s="642" t="s">
        <v>352</v>
      </c>
      <c r="D6" s="642"/>
      <c r="E6" s="642"/>
      <c r="F6" s="642"/>
      <c r="G6" s="642"/>
      <c r="H6" s="642"/>
      <c r="I6" s="642"/>
    </row>
    <row r="7" spans="3:9" ht="36" customHeight="1" x14ac:dyDescent="0.25">
      <c r="C7" s="642" t="s">
        <v>353</v>
      </c>
      <c r="D7" s="642"/>
      <c r="E7" s="642"/>
      <c r="F7" s="642"/>
      <c r="G7" s="642"/>
      <c r="H7" s="642"/>
      <c r="I7" s="642"/>
    </row>
    <row r="8" spans="3:9" ht="18.75" x14ac:dyDescent="0.25">
      <c r="C8" s="642" t="s">
        <v>369</v>
      </c>
      <c r="D8" s="642"/>
      <c r="E8" s="642"/>
      <c r="F8" s="642"/>
      <c r="G8" s="642"/>
      <c r="H8" s="642"/>
      <c r="I8" s="642"/>
    </row>
    <row r="9" spans="3:9" ht="15.75" thickBot="1" x14ac:dyDescent="0.3">
      <c r="C9" s="643" t="s">
        <v>179</v>
      </c>
      <c r="D9" s="643"/>
      <c r="E9" s="643"/>
      <c r="F9" s="643"/>
      <c r="G9" s="643"/>
      <c r="H9" s="643"/>
      <c r="I9" s="643"/>
    </row>
    <row r="10" spans="3:9" ht="25.5" customHeight="1" thickBot="1" x14ac:dyDescent="0.3">
      <c r="C10" s="574" t="s">
        <v>108</v>
      </c>
      <c r="D10" s="574" t="s">
        <v>354</v>
      </c>
      <c r="E10" s="574" t="s">
        <v>355</v>
      </c>
      <c r="F10" s="574"/>
      <c r="G10" s="574"/>
      <c r="H10" s="574"/>
      <c r="I10" s="574"/>
    </row>
    <row r="11" spans="3:9" ht="15.75" thickBot="1" x14ac:dyDescent="0.3">
      <c r="C11" s="574"/>
      <c r="D11" s="574"/>
      <c r="E11" s="574" t="s">
        <v>188</v>
      </c>
      <c r="F11" s="574" t="s">
        <v>117</v>
      </c>
      <c r="G11" s="574"/>
      <c r="H11" s="574"/>
      <c r="I11" s="574"/>
    </row>
    <row r="12" spans="3:9" ht="27" customHeight="1" thickBot="1" x14ac:dyDescent="0.3">
      <c r="C12" s="574"/>
      <c r="D12" s="574"/>
      <c r="E12" s="574"/>
      <c r="F12" s="644" t="s">
        <v>192</v>
      </c>
      <c r="G12" s="644" t="s">
        <v>512</v>
      </c>
      <c r="H12" s="644" t="s">
        <v>356</v>
      </c>
      <c r="I12" s="644" t="s">
        <v>357</v>
      </c>
    </row>
    <row r="13" spans="3:9" ht="72.75" customHeight="1" thickBot="1" x14ac:dyDescent="0.3">
      <c r="C13" s="574"/>
      <c r="D13" s="574"/>
      <c r="E13" s="574"/>
      <c r="F13" s="645"/>
      <c r="G13" s="646"/>
      <c r="H13" s="646"/>
      <c r="I13" s="646"/>
    </row>
    <row r="14" spans="3:9" ht="15.75" thickBot="1" x14ac:dyDescent="0.3">
      <c r="C14" s="225">
        <v>1</v>
      </c>
      <c r="D14" s="225">
        <v>2</v>
      </c>
      <c r="E14" s="225">
        <v>3</v>
      </c>
      <c r="F14" s="225">
        <v>4</v>
      </c>
      <c r="G14" s="225">
        <v>5</v>
      </c>
      <c r="H14" s="225">
        <v>6</v>
      </c>
      <c r="I14" s="225">
        <v>7</v>
      </c>
    </row>
    <row r="15" spans="3:9" ht="15.75" thickBot="1" x14ac:dyDescent="0.3">
      <c r="C15" s="99" t="s">
        <v>205</v>
      </c>
      <c r="D15" s="647" t="s">
        <v>206</v>
      </c>
      <c r="E15" s="647"/>
      <c r="F15" s="647"/>
      <c r="G15" s="647"/>
      <c r="H15" s="647"/>
      <c r="I15" s="647"/>
    </row>
    <row r="16" spans="3:9" ht="15.75" thickBot="1" x14ac:dyDescent="0.3">
      <c r="C16" s="100" t="s">
        <v>207</v>
      </c>
      <c r="D16" s="641" t="s">
        <v>358</v>
      </c>
      <c r="E16" s="641"/>
      <c r="F16" s="641"/>
      <c r="G16" s="641"/>
      <c r="H16" s="641"/>
      <c r="I16" s="641"/>
    </row>
    <row r="17" spans="3:15" ht="15.75" thickBot="1" x14ac:dyDescent="0.3">
      <c r="C17" s="101" t="s">
        <v>209</v>
      </c>
      <c r="D17" s="197" t="s">
        <v>359</v>
      </c>
      <c r="E17" s="173"/>
      <c r="F17" s="173"/>
      <c r="G17" s="173"/>
      <c r="H17" s="173"/>
      <c r="I17" s="173"/>
    </row>
    <row r="18" spans="3:15" ht="26.25" thickBot="1" x14ac:dyDescent="0.3">
      <c r="C18" s="101" t="s">
        <v>212</v>
      </c>
      <c r="D18" s="197" t="s">
        <v>360</v>
      </c>
      <c r="E18" s="173"/>
      <c r="F18" s="173"/>
      <c r="G18" s="173"/>
      <c r="H18" s="173"/>
      <c r="I18" s="173"/>
    </row>
    <row r="19" spans="3:15" ht="15.75" thickBot="1" x14ac:dyDescent="0.3">
      <c r="C19" s="101" t="s">
        <v>361</v>
      </c>
      <c r="D19" s="197" t="s">
        <v>362</v>
      </c>
      <c r="E19" s="173"/>
      <c r="F19" s="173"/>
      <c r="G19" s="173"/>
      <c r="H19" s="173"/>
      <c r="I19" s="173"/>
    </row>
    <row r="20" spans="3:15" ht="15.75" thickBot="1" x14ac:dyDescent="0.3">
      <c r="C20" s="173"/>
      <c r="D20" s="95" t="s">
        <v>216</v>
      </c>
      <c r="E20" s="173"/>
      <c r="F20" s="173"/>
      <c r="G20" s="173"/>
      <c r="H20" s="173"/>
      <c r="I20" s="173"/>
    </row>
    <row r="21" spans="3:15" ht="15.75" thickBot="1" x14ac:dyDescent="0.3">
      <c r="C21" s="95" t="s">
        <v>363</v>
      </c>
      <c r="D21" s="641" t="s">
        <v>218</v>
      </c>
      <c r="E21" s="641"/>
      <c r="F21" s="641"/>
      <c r="G21" s="641"/>
      <c r="H21" s="641"/>
      <c r="I21" s="641"/>
    </row>
    <row r="22" spans="3:15" ht="15.75" thickBot="1" x14ac:dyDescent="0.3">
      <c r="C22" s="101" t="s">
        <v>219</v>
      </c>
      <c r="D22" s="197" t="s">
        <v>359</v>
      </c>
      <c r="E22" s="173"/>
      <c r="F22" s="173"/>
      <c r="G22" s="173"/>
      <c r="H22" s="173"/>
      <c r="I22" s="173"/>
    </row>
    <row r="23" spans="3:15" ht="26.25" thickBot="1" x14ac:dyDescent="0.3">
      <c r="C23" s="101" t="s">
        <v>221</v>
      </c>
      <c r="D23" s="197" t="s">
        <v>360</v>
      </c>
      <c r="E23" s="173"/>
      <c r="F23" s="173"/>
      <c r="G23" s="173"/>
      <c r="H23" s="173"/>
      <c r="I23" s="173"/>
    </row>
    <row r="24" spans="3:15" ht="26.25" thickBot="1" x14ac:dyDescent="0.3">
      <c r="C24" s="101" t="s">
        <v>223</v>
      </c>
      <c r="D24" s="197" t="s">
        <v>364</v>
      </c>
      <c r="E24" s="173"/>
      <c r="F24" s="173"/>
      <c r="G24" s="173"/>
      <c r="H24" s="173"/>
      <c r="I24" s="173"/>
    </row>
    <row r="25" spans="3:15" ht="26.25" thickBot="1" x14ac:dyDescent="0.3">
      <c r="C25" s="101" t="s">
        <v>225</v>
      </c>
      <c r="D25" s="197" t="s">
        <v>365</v>
      </c>
      <c r="E25" s="173"/>
      <c r="F25" s="173"/>
      <c r="G25" s="173"/>
      <c r="H25" s="173"/>
      <c r="I25" s="173"/>
    </row>
    <row r="26" spans="3:15" ht="15.75" thickBot="1" x14ac:dyDescent="0.3">
      <c r="C26" s="101" t="s">
        <v>228</v>
      </c>
      <c r="D26" s="197" t="s">
        <v>362</v>
      </c>
      <c r="E26" s="173"/>
      <c r="F26" s="173"/>
      <c r="G26" s="173"/>
      <c r="H26" s="173"/>
      <c r="I26" s="173"/>
    </row>
    <row r="27" spans="3:15" ht="15.75" thickBot="1" x14ac:dyDescent="0.3">
      <c r="C27" s="173"/>
      <c r="D27" s="95" t="s">
        <v>230</v>
      </c>
      <c r="E27" s="173"/>
      <c r="F27" s="173"/>
      <c r="G27" s="173"/>
      <c r="H27" s="173"/>
      <c r="I27" s="173"/>
    </row>
    <row r="28" spans="3:15" ht="15.75" thickBot="1" x14ac:dyDescent="0.3">
      <c r="C28" s="173"/>
      <c r="D28" s="99" t="s">
        <v>231</v>
      </c>
      <c r="E28" s="227">
        <f>E20+E27</f>
        <v>0</v>
      </c>
      <c r="F28" s="227">
        <f t="shared" ref="F28:I28" si="0">F20+F27</f>
        <v>0</v>
      </c>
      <c r="G28" s="227">
        <f t="shared" si="0"/>
        <v>0</v>
      </c>
      <c r="H28" s="227">
        <f t="shared" si="0"/>
        <v>0</v>
      </c>
      <c r="I28" s="227">
        <f t="shared" si="0"/>
        <v>0</v>
      </c>
    </row>
    <row r="29" spans="3:15" ht="15.75" thickBot="1" x14ac:dyDescent="0.3">
      <c r="C29" s="99" t="s">
        <v>232</v>
      </c>
      <c r="D29" s="647" t="s">
        <v>125</v>
      </c>
      <c r="E29" s="647"/>
      <c r="F29" s="647"/>
      <c r="G29" s="647"/>
      <c r="H29" s="647"/>
      <c r="I29" s="647"/>
    </row>
    <row r="30" spans="3:15" ht="15" customHeight="1" thickBot="1" x14ac:dyDescent="0.3">
      <c r="C30" s="100" t="s">
        <v>233</v>
      </c>
      <c r="D30" s="641" t="s">
        <v>208</v>
      </c>
      <c r="E30" s="641"/>
      <c r="F30" s="641"/>
      <c r="G30" s="641"/>
      <c r="H30" s="641"/>
      <c r="I30" s="641"/>
    </row>
    <row r="31" spans="3:15" ht="15.75" thickBot="1" x14ac:dyDescent="0.3">
      <c r="C31" s="101" t="s">
        <v>234</v>
      </c>
      <c r="D31" s="226" t="s">
        <v>359</v>
      </c>
      <c r="E31" s="180">
        <f>'Дод 6.1. '!E23</f>
        <v>20627.878000000001</v>
      </c>
      <c r="F31" s="223">
        <f>'Дод 6.1.1'!G19</f>
        <v>1229.3494691111111</v>
      </c>
      <c r="G31" s="180">
        <f>'Дод 6.1.1'!H19</f>
        <v>5970.6505308888873</v>
      </c>
      <c r="H31" s="181"/>
      <c r="I31" s="173"/>
    </row>
    <row r="32" spans="3:15" ht="26.25" thickBot="1" x14ac:dyDescent="0.3">
      <c r="C32" s="101" t="s">
        <v>236</v>
      </c>
      <c r="D32" s="226" t="s">
        <v>360</v>
      </c>
      <c r="E32" s="180">
        <f>'Дод 6.1. '!C27</f>
        <v>8056</v>
      </c>
      <c r="F32" s="223">
        <f>'Дод 6.1.1'!G23</f>
        <v>0</v>
      </c>
      <c r="G32" s="180">
        <f>'Дод 6.1.1'!H23</f>
        <v>1611.2</v>
      </c>
      <c r="H32" s="181"/>
      <c r="I32" s="173"/>
      <c r="N32" s="179"/>
      <c r="O32" s="179"/>
    </row>
    <row r="33" spans="3:9" ht="15.75" thickBot="1" x14ac:dyDescent="0.3">
      <c r="C33" s="101" t="s">
        <v>238</v>
      </c>
      <c r="D33" s="226" t="s">
        <v>362</v>
      </c>
      <c r="E33" s="181"/>
      <c r="F33" s="223"/>
      <c r="G33" s="180"/>
      <c r="H33" s="181"/>
      <c r="I33" s="173"/>
    </row>
    <row r="34" spans="3:9" ht="15.75" thickBot="1" x14ac:dyDescent="0.3">
      <c r="C34" s="173"/>
      <c r="D34" s="95" t="s">
        <v>240</v>
      </c>
      <c r="E34" s="180">
        <f>E31+E32+E33</f>
        <v>28683.878000000001</v>
      </c>
      <c r="F34" s="223">
        <f>F31+F32+F33</f>
        <v>1229.3494691111111</v>
      </c>
      <c r="G34" s="180">
        <f t="shared" ref="G34" si="1">G31+G32+G33</f>
        <v>7581.8505308888871</v>
      </c>
      <c r="H34" s="180"/>
      <c r="I34" s="178"/>
    </row>
    <row r="35" spans="3:9" ht="15.75" thickBot="1" x14ac:dyDescent="0.3">
      <c r="C35" s="100" t="s">
        <v>241</v>
      </c>
      <c r="D35" s="641" t="s">
        <v>218</v>
      </c>
      <c r="E35" s="641"/>
      <c r="F35" s="641"/>
      <c r="G35" s="641"/>
      <c r="H35" s="641"/>
      <c r="I35" s="641"/>
    </row>
    <row r="36" spans="3:9" ht="15.75" thickBot="1" x14ac:dyDescent="0.3">
      <c r="C36" s="101" t="s">
        <v>242</v>
      </c>
      <c r="D36" s="226" t="s">
        <v>359</v>
      </c>
      <c r="E36" s="173"/>
      <c r="F36" s="173"/>
      <c r="G36" s="173"/>
      <c r="H36" s="173"/>
      <c r="I36" s="173"/>
    </row>
    <row r="37" spans="3:9" ht="26.25" thickBot="1" x14ac:dyDescent="0.3">
      <c r="C37" s="101" t="s">
        <v>244</v>
      </c>
      <c r="D37" s="226" t="s">
        <v>360</v>
      </c>
      <c r="E37" s="173"/>
      <c r="F37" s="173"/>
      <c r="G37" s="173"/>
      <c r="H37" s="173"/>
      <c r="I37" s="173"/>
    </row>
    <row r="38" spans="3:9" ht="26.25" thickBot="1" x14ac:dyDescent="0.3">
      <c r="C38" s="101" t="s">
        <v>246</v>
      </c>
      <c r="D38" s="226" t="s">
        <v>364</v>
      </c>
      <c r="E38" s="173"/>
      <c r="F38" s="173"/>
      <c r="G38" s="173"/>
      <c r="H38" s="173"/>
      <c r="I38" s="173"/>
    </row>
    <row r="39" spans="3:9" ht="26.25" thickBot="1" x14ac:dyDescent="0.3">
      <c r="C39" s="101" t="s">
        <v>248</v>
      </c>
      <c r="D39" s="226" t="s">
        <v>365</v>
      </c>
      <c r="E39" s="173"/>
      <c r="F39" s="173"/>
      <c r="G39" s="173"/>
      <c r="H39" s="173"/>
      <c r="I39" s="173"/>
    </row>
    <row r="40" spans="3:9" ht="15.75" thickBot="1" x14ac:dyDescent="0.3">
      <c r="C40" s="101" t="s">
        <v>250</v>
      </c>
      <c r="D40" s="226" t="s">
        <v>362</v>
      </c>
      <c r="E40" s="173"/>
      <c r="F40" s="173"/>
      <c r="G40" s="173"/>
      <c r="H40" s="173"/>
      <c r="I40" s="173"/>
    </row>
    <row r="41" spans="3:9" ht="15.75" thickBot="1" x14ac:dyDescent="0.3">
      <c r="C41" s="173"/>
      <c r="D41" s="95" t="s">
        <v>252</v>
      </c>
      <c r="E41" s="173"/>
      <c r="F41" s="173"/>
      <c r="G41" s="173"/>
      <c r="H41" s="173"/>
      <c r="I41" s="173"/>
    </row>
    <row r="42" spans="3:9" ht="15.75" thickBot="1" x14ac:dyDescent="0.3">
      <c r="C42" s="173"/>
      <c r="D42" s="99" t="s">
        <v>253</v>
      </c>
      <c r="E42" s="227">
        <f>E34+E41</f>
        <v>28683.878000000001</v>
      </c>
      <c r="F42" s="224">
        <f t="shared" ref="F42:I42" si="2">F34+F41</f>
        <v>1229.3494691111111</v>
      </c>
      <c r="G42" s="227">
        <f t="shared" si="2"/>
        <v>7581.8505308888871</v>
      </c>
      <c r="H42" s="227">
        <f t="shared" si="2"/>
        <v>0</v>
      </c>
      <c r="I42" s="227">
        <f t="shared" si="2"/>
        <v>0</v>
      </c>
    </row>
    <row r="43" spans="3:9" ht="15.75" thickBot="1" x14ac:dyDescent="0.3">
      <c r="C43" s="99" t="s">
        <v>254</v>
      </c>
      <c r="D43" s="647" t="s">
        <v>255</v>
      </c>
      <c r="E43" s="647"/>
      <c r="F43" s="647"/>
      <c r="G43" s="647"/>
      <c r="H43" s="647"/>
      <c r="I43" s="647"/>
    </row>
    <row r="44" spans="3:9" ht="15.75" thickBot="1" x14ac:dyDescent="0.3">
      <c r="C44" s="100" t="s">
        <v>256</v>
      </c>
      <c r="D44" s="641" t="s">
        <v>208</v>
      </c>
      <c r="E44" s="641"/>
      <c r="F44" s="641"/>
      <c r="G44" s="641"/>
      <c r="H44" s="641"/>
      <c r="I44" s="641"/>
    </row>
    <row r="45" spans="3:9" ht="15.75" thickBot="1" x14ac:dyDescent="0.3">
      <c r="C45" s="101" t="s">
        <v>257</v>
      </c>
      <c r="D45" s="226" t="s">
        <v>359</v>
      </c>
      <c r="E45" s="173"/>
      <c r="F45" s="173"/>
      <c r="G45" s="173"/>
      <c r="H45" s="173"/>
      <c r="I45" s="173"/>
    </row>
    <row r="46" spans="3:9" ht="26.25" thickBot="1" x14ac:dyDescent="0.3">
      <c r="C46" s="101" t="s">
        <v>259</v>
      </c>
      <c r="D46" s="226" t="s">
        <v>360</v>
      </c>
      <c r="E46" s="173"/>
      <c r="F46" s="173"/>
      <c r="G46" s="173"/>
      <c r="H46" s="173"/>
      <c r="I46" s="173"/>
    </row>
    <row r="47" spans="3:9" ht="15.75" thickBot="1" x14ac:dyDescent="0.3">
      <c r="C47" s="101" t="s">
        <v>261</v>
      </c>
      <c r="D47" s="226" t="s">
        <v>362</v>
      </c>
      <c r="E47" s="173"/>
      <c r="F47" s="173"/>
      <c r="G47" s="173"/>
      <c r="H47" s="173"/>
      <c r="I47" s="173"/>
    </row>
    <row r="48" spans="3:9" ht="15.75" thickBot="1" x14ac:dyDescent="0.3">
      <c r="C48" s="173"/>
      <c r="D48" s="95" t="s">
        <v>263</v>
      </c>
      <c r="E48" s="173"/>
      <c r="F48" s="173"/>
      <c r="G48" s="173"/>
      <c r="H48" s="173"/>
      <c r="I48" s="173"/>
    </row>
    <row r="49" spans="3:9" ht="15.75" thickBot="1" x14ac:dyDescent="0.3">
      <c r="C49" s="100" t="s">
        <v>264</v>
      </c>
      <c r="D49" s="641" t="s">
        <v>218</v>
      </c>
      <c r="E49" s="641"/>
      <c r="F49" s="641"/>
      <c r="G49" s="641"/>
      <c r="H49" s="641"/>
      <c r="I49" s="641"/>
    </row>
    <row r="50" spans="3:9" ht="15.75" thickBot="1" x14ac:dyDescent="0.3">
      <c r="C50" s="101" t="s">
        <v>265</v>
      </c>
      <c r="D50" s="226" t="s">
        <v>359</v>
      </c>
      <c r="E50" s="173"/>
      <c r="F50" s="173"/>
      <c r="G50" s="173"/>
      <c r="H50" s="173"/>
      <c r="I50" s="173"/>
    </row>
    <row r="51" spans="3:9" ht="26.25" thickBot="1" x14ac:dyDescent="0.3">
      <c r="C51" s="101" t="s">
        <v>267</v>
      </c>
      <c r="D51" s="226" t="s">
        <v>360</v>
      </c>
      <c r="E51" s="173"/>
      <c r="F51" s="173"/>
      <c r="G51" s="173"/>
      <c r="H51" s="173"/>
      <c r="I51" s="173"/>
    </row>
    <row r="52" spans="3:9" ht="26.25" thickBot="1" x14ac:dyDescent="0.3">
      <c r="C52" s="101" t="s">
        <v>269</v>
      </c>
      <c r="D52" s="226" t="s">
        <v>364</v>
      </c>
      <c r="E52" s="173"/>
      <c r="F52" s="173"/>
      <c r="G52" s="173"/>
      <c r="H52" s="173"/>
      <c r="I52" s="173"/>
    </row>
    <row r="53" spans="3:9" ht="26.25" thickBot="1" x14ac:dyDescent="0.3">
      <c r="C53" s="101" t="s">
        <v>271</v>
      </c>
      <c r="D53" s="226" t="s">
        <v>365</v>
      </c>
      <c r="E53" s="173"/>
      <c r="F53" s="173"/>
      <c r="G53" s="173"/>
      <c r="H53" s="173"/>
      <c r="I53" s="173"/>
    </row>
    <row r="54" spans="3:9" ht="15.75" thickBot="1" x14ac:dyDescent="0.3">
      <c r="C54" s="101" t="s">
        <v>273</v>
      </c>
      <c r="D54" s="226" t="s">
        <v>362</v>
      </c>
      <c r="E54" s="173"/>
      <c r="F54" s="173"/>
      <c r="G54" s="173"/>
      <c r="H54" s="173"/>
      <c r="I54" s="173"/>
    </row>
    <row r="55" spans="3:9" ht="15.75" thickBot="1" x14ac:dyDescent="0.3">
      <c r="C55" s="173"/>
      <c r="D55" s="95" t="s">
        <v>275</v>
      </c>
      <c r="E55" s="173"/>
      <c r="F55" s="173"/>
      <c r="G55" s="173"/>
      <c r="H55" s="173"/>
      <c r="I55" s="173"/>
    </row>
    <row r="56" spans="3:9" ht="15.75" thickBot="1" x14ac:dyDescent="0.3">
      <c r="C56" s="173"/>
      <c r="D56" s="99" t="s">
        <v>276</v>
      </c>
      <c r="E56" s="227">
        <f>E48+E55</f>
        <v>0</v>
      </c>
      <c r="F56" s="227">
        <f t="shared" ref="F56:I56" si="3">F48+F55</f>
        <v>0</v>
      </c>
      <c r="G56" s="227">
        <f t="shared" si="3"/>
        <v>0</v>
      </c>
      <c r="H56" s="227">
        <f t="shared" si="3"/>
        <v>0</v>
      </c>
      <c r="I56" s="227">
        <f t="shared" si="3"/>
        <v>0</v>
      </c>
    </row>
    <row r="57" spans="3:9" ht="15.75" thickBot="1" x14ac:dyDescent="0.3">
      <c r="C57" s="173"/>
      <c r="D57" s="165" t="s">
        <v>155</v>
      </c>
      <c r="E57" s="227">
        <f>E28+E42+E56</f>
        <v>28683.878000000001</v>
      </c>
      <c r="F57" s="224">
        <f t="shared" ref="F57:I57" si="4">F28+F42+F56</f>
        <v>1229.3494691111111</v>
      </c>
      <c r="G57" s="227">
        <f t="shared" si="4"/>
        <v>7581.8505308888871</v>
      </c>
      <c r="H57" s="227">
        <f t="shared" si="4"/>
        <v>0</v>
      </c>
      <c r="I57" s="227">
        <f t="shared" si="4"/>
        <v>0</v>
      </c>
    </row>
    <row r="58" spans="3:9" x14ac:dyDescent="0.25">
      <c r="C58" s="648" t="s">
        <v>280</v>
      </c>
      <c r="D58" s="648"/>
      <c r="E58" s="648" t="s">
        <v>366</v>
      </c>
      <c r="F58" s="648"/>
      <c r="G58" s="648" t="s">
        <v>367</v>
      </c>
      <c r="H58" s="648"/>
      <c r="I58" s="648"/>
    </row>
    <row r="59" spans="3:9" x14ac:dyDescent="0.25">
      <c r="C59" s="563" t="s">
        <v>291</v>
      </c>
      <c r="D59" s="563"/>
      <c r="E59" s="563" t="s">
        <v>283</v>
      </c>
      <c r="F59" s="563"/>
      <c r="G59" s="563" t="s">
        <v>284</v>
      </c>
      <c r="H59" s="563"/>
      <c r="I59" s="563"/>
    </row>
    <row r="60" spans="3:9" x14ac:dyDescent="0.25">
      <c r="C60" s="649" t="s">
        <v>368</v>
      </c>
      <c r="D60" s="649"/>
      <c r="E60" s="649" t="s">
        <v>366</v>
      </c>
      <c r="F60" s="649"/>
      <c r="G60" s="649" t="s">
        <v>367</v>
      </c>
      <c r="H60" s="649"/>
      <c r="I60" s="649"/>
    </row>
    <row r="61" spans="3:9" x14ac:dyDescent="0.25">
      <c r="C61" s="649"/>
      <c r="D61" s="649"/>
      <c r="E61" s="563" t="s">
        <v>283</v>
      </c>
      <c r="F61" s="563"/>
      <c r="G61" s="563" t="s">
        <v>284</v>
      </c>
      <c r="H61" s="563"/>
      <c r="I61" s="563"/>
    </row>
    <row r="62" spans="3:9" x14ac:dyDescent="0.25">
      <c r="C62" s="649" t="s">
        <v>280</v>
      </c>
      <c r="D62" s="649"/>
      <c r="E62" s="649" t="s">
        <v>366</v>
      </c>
      <c r="F62" s="649"/>
      <c r="G62" s="649" t="s">
        <v>367</v>
      </c>
      <c r="H62" s="649"/>
      <c r="I62" s="649"/>
    </row>
    <row r="63" spans="3:9" x14ac:dyDescent="0.25">
      <c r="C63" s="563" t="s">
        <v>282</v>
      </c>
      <c r="D63" s="563"/>
      <c r="E63" s="563" t="s">
        <v>283</v>
      </c>
      <c r="F63" s="563"/>
      <c r="G63" s="563" t="s">
        <v>284</v>
      </c>
      <c r="H63" s="563"/>
      <c r="I63" s="563"/>
    </row>
  </sheetData>
  <mergeCells count="43">
    <mergeCell ref="H2:I2"/>
    <mergeCell ref="H3:I3"/>
    <mergeCell ref="H4:I4"/>
    <mergeCell ref="H5:I5"/>
    <mergeCell ref="H12:H13"/>
    <mergeCell ref="I12:I13"/>
    <mergeCell ref="C6:I6"/>
    <mergeCell ref="C62:D62"/>
    <mergeCell ref="E62:F62"/>
    <mergeCell ref="G62:I62"/>
    <mergeCell ref="C63:D63"/>
    <mergeCell ref="E63:F63"/>
    <mergeCell ref="G63:I63"/>
    <mergeCell ref="C59:D59"/>
    <mergeCell ref="E59:F59"/>
    <mergeCell ref="G59:I59"/>
    <mergeCell ref="C60:D61"/>
    <mergeCell ref="E60:F60"/>
    <mergeCell ref="G60:I60"/>
    <mergeCell ref="E61:F61"/>
    <mergeCell ref="G61:I61"/>
    <mergeCell ref="D43:I43"/>
    <mergeCell ref="D44:I44"/>
    <mergeCell ref="D49:I49"/>
    <mergeCell ref="C58:D58"/>
    <mergeCell ref="E58:F58"/>
    <mergeCell ref="G58:I58"/>
    <mergeCell ref="D35:I35"/>
    <mergeCell ref="C7:I7"/>
    <mergeCell ref="C8:I8"/>
    <mergeCell ref="C9:I9"/>
    <mergeCell ref="C10:C13"/>
    <mergeCell ref="D10:D13"/>
    <mergeCell ref="E10:I10"/>
    <mergeCell ref="E11:E13"/>
    <mergeCell ref="F11:I11"/>
    <mergeCell ref="F12:F13"/>
    <mergeCell ref="G12:G13"/>
    <mergeCell ref="D15:I15"/>
    <mergeCell ref="D16:I16"/>
    <mergeCell ref="D21:I21"/>
    <mergeCell ref="D29:I29"/>
    <mergeCell ref="D30:I30"/>
  </mergeCells>
  <hyperlinks>
    <hyperlink ref="D16" r:id="rId1" display="https://zakon.rada.gov.ua/laws/show/2755-17"/>
    <hyperlink ref="D21" r:id="rId2" display="https://zakon.rada.gov.ua/laws/show/2755-17"/>
    <hyperlink ref="D30" r:id="rId3" display="https://zakon.rada.gov.ua/laws/show/2755-17"/>
    <hyperlink ref="D35" r:id="rId4" display="https://zakon.rada.gov.ua/laws/show/2755-17"/>
    <hyperlink ref="D44" r:id="rId5" display="https://zakon.rada.gov.ua/laws/show/2755-17"/>
    <hyperlink ref="D49" r:id="rId6" display="https://zakon.rada.gov.ua/laws/show/2755-17"/>
  </hyperlinks>
  <pageMargins left="0.11811023622047245" right="0" top="0.15748031496062992" bottom="0.15748031496062992" header="0.31496062992125984" footer="0.31496062992125984"/>
  <pageSetup paperSize="9" scale="42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 Фінплан освоєння </vt:lpstr>
      <vt:lpstr> розрах Аморт ОЗ перед10 </vt:lpstr>
      <vt:lpstr> розрах Аморт ОЗ  перед15</vt:lpstr>
      <vt:lpstr> розрах Аморт ОЗ створ10</vt:lpstr>
      <vt:lpstr> розрах Аморт ОЗ створ15</vt:lpstr>
      <vt:lpstr> розрах джерел ІП </vt:lpstr>
      <vt:lpstr>Додаток 1</vt:lpstr>
      <vt:lpstr>Додаток 2</vt:lpstr>
      <vt:lpstr>Додаток 3</vt:lpstr>
      <vt:lpstr>Дод 6.1. </vt:lpstr>
      <vt:lpstr>Дод 6.1.1</vt:lpstr>
      <vt:lpstr>графік</vt:lpstr>
      <vt:lpstr>' Фінплан освоєння '!Область_печати</vt:lpstr>
      <vt:lpstr>'Додаток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2020-03-13T10:39:08Z</dcterms:modified>
</cp:coreProperties>
</file>